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7230" activeTab="6"/>
  </bookViews>
  <sheets>
    <sheet name="район" sheetId="1" r:id="rId1"/>
    <sheet name="ив" sheetId="2" r:id="rId2"/>
    <sheet name="мортки" sheetId="3" r:id="rId3"/>
    <sheet name="затеиха" sheetId="4" r:id="rId4"/>
    <sheet name="сеготь" sheetId="5" r:id="rId5"/>
    <sheet name="город" sheetId="6" r:id="rId6"/>
    <sheet name="свод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<sst xmlns="http://schemas.openxmlformats.org/spreadsheetml/2006/main" count="811" uniqueCount="89">
  <si>
    <t>Показатель</t>
  </si>
  <si>
    <t>2017 год</t>
  </si>
  <si>
    <t>2018 год</t>
  </si>
  <si>
    <t>2030 год</t>
  </si>
  <si>
    <t>Доходы бюджета, за исключением целевых поступлений от других бюджетов бюджетной системы</t>
  </si>
  <si>
    <t>налоговые и неналоговые доходы</t>
  </si>
  <si>
    <t>налоговые доходы</t>
  </si>
  <si>
    <t>неналоговые доходы</t>
  </si>
  <si>
    <t>безвозмездные поступления, за исключением целевых поступлений от других бюджетов бюджетной системы</t>
  </si>
  <si>
    <t>Расходы бюджета, за исключением расходов, осуществляемых за счет целевых поступлений от других бюджетов бюджетной системы</t>
  </si>
  <si>
    <t>Дефицит (профицит) бюджета</t>
  </si>
  <si>
    <t>Долг на конец года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</si>
  <si>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</si>
  <si>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</si>
  <si>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</si>
  <si>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</si>
  <si>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</si>
  <si>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</si>
  <si>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</si>
  <si>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</si>
  <si>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</si>
  <si>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</si>
  <si>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</si>
  <si>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Общий объем доходов бюджета, за исключением целевых поступлений от других бюджетов бюджетной системы</t>
  </si>
  <si>
    <t>Налоговые и неналоговые доходы</t>
  </si>
  <si>
    <t>Налоговые доходы</t>
  </si>
  <si>
    <t>Налог на доходы физических лиц*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</si>
  <si>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</si>
  <si>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</si>
  <si>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</si>
  <si>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</si>
  <si>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</si>
  <si>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</si>
  <si>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</si>
  <si>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</si>
  <si>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</si>
  <si>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</si>
  <si>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</si>
  <si>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</si>
  <si>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</si>
  <si>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</si>
  <si>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</si>
  <si>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</si>
  <si>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</si>
  <si>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r>
      <t>Безвозмездные поступления,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исключением целевых поступлений от других бюджетов бюджетной системы</t>
    </r>
  </si>
  <si>
    <t>Дотации**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</si>
  <si>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</si>
  <si>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</si>
  <si>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</si>
  <si>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 xml:space="preserve">Общий объем расходов бюджета, за исключением расходов, осуществляемых за счет целевых поступлений от других бюджетов бюджетной системы 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</si>
  <si>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</si>
  <si>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</si>
  <si>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</si>
  <si>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</si>
  <si>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</si>
  <si>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</si>
  <si>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</si>
  <si>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</si>
  <si>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</si>
  <si>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</si>
  <si>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</si>
  <si>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</si>
  <si>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</si>
  <si>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муниципального долга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</si>
  <si>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</si>
  <si>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Общий объем долга </t>
  </si>
  <si>
    <t>ценные бумаги</t>
  </si>
  <si>
    <t>кредиты банков</t>
  </si>
  <si>
    <t>бюджетные кредиты</t>
  </si>
  <si>
    <t>муниципальные гарантии</t>
  </si>
  <si>
    <t>Экономист</t>
  </si>
  <si>
    <t>Прогноз основных характеристик и иных показателей бюджета Пучежского городского поселения на 2017-2030 годы</t>
  </si>
  <si>
    <t>аренда имущества</t>
  </si>
  <si>
    <t>аренда земли</t>
  </si>
  <si>
    <r>
      <t>Безвозмездные поступления,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 исключением целевых поступлений от других бюджетов бюджетной системы</t>
    </r>
  </si>
  <si>
    <t>Прогноз расходов бюджета Пучежского городского поселения на 2017-2030 годы</t>
  </si>
  <si>
    <t>Прогноз муниципального долга Пучежского городского поселения на 2017-2030 годы</t>
  </si>
  <si>
    <t>Начальник отдела составления, ведения и исполнения бюджета Пучежского городского поселения _________________________________ Соколова И.А.</t>
  </si>
  <si>
    <t>Прогноз консолидированного бюджета Пучежского муниципального района</t>
  </si>
  <si>
    <t>Прогноз  бюджета Пучежского муниципального района</t>
  </si>
  <si>
    <t>Прогноз  бюджета Илья-Высоковского сельского поселения</t>
  </si>
  <si>
    <t>Прогноз  бюджета Мортковского сельского поселения</t>
  </si>
  <si>
    <t>Прогноз  бюджета Затеихинского сельского поселения</t>
  </si>
  <si>
    <t>Прогноз  бюджета Сеготского сельского поселения</t>
  </si>
  <si>
    <t>Прогноз доходов бюджета Пучежского городского поселения на 2020-2030 годы</t>
  </si>
  <si>
    <t>таблица №1</t>
  </si>
  <si>
    <t>таблица №2</t>
  </si>
  <si>
    <t>таблица №3</t>
  </si>
  <si>
    <t>таблица №4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</si>
</sst>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"/>
  </numFmts>
  <fonts count="3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10" fillId="0" borderId="10" xfId="0" applyFont="1" applyBorder="1" applyAlignment="1">
      <alignment vertical="center" wrapText="1"/>
    </xf>
    <xf numFmtId="172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7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justify" vertical="center" wrapText="1"/>
    </xf>
    <xf numFmtId="172" fontId="6" fillId="0" borderId="10" xfId="0" applyNumberFormat="1" applyFont="1" applyBorder="1" applyAlignment="1">
      <alignment horizontal="justify" vertical="center" wrapText="1"/>
    </xf>
    <xf numFmtId="172" fontId="7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3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2" fillId="0" borderId="10" xfId="0" applyNumberFormat="1" applyFont="1" applyFill="1" applyBorder="1" applyAlignment="1">
      <alignment horizontal="justify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="64" zoomScaleNormal="64" zoomScalePageLayoutView="0" workbookViewId="0" topLeftCell="A1">
      <selection activeCell="S8" sqref="S8"/>
    </sheetView>
  </sheetViews>
  <sheetFormatPr defaultColWidth="9.140625" defaultRowHeight="15"/>
  <cols>
    <col min="1" max="1" width="44.00390625" style="0" customWidth="1"/>
    <col min="2" max="2" width="13.7109375" style="0" hidden="1" customWidth="1"/>
    <col min="3" max="3" width="12.8515625" style="0" hidden="1" customWidth="1"/>
    <col min="4" max="4" width="0.289062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31.2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9">
        <f>B4+B7</f>
        <v>101804.70000000001</v>
      </c>
      <c r="C3" s="9">
        <f aca="true" t="shared" si="0" ref="C3:O3">C4+C7</f>
        <v>98062.60200000001</v>
      </c>
      <c r="D3" s="9">
        <f t="shared" si="0"/>
        <v>98565.66604000001</v>
      </c>
      <c r="E3" s="9">
        <f t="shared" si="0"/>
        <v>148339.7</v>
      </c>
      <c r="F3" s="9">
        <f t="shared" si="0"/>
        <v>104256.9</v>
      </c>
      <c r="G3" s="9">
        <f t="shared" si="0"/>
        <v>104951.5</v>
      </c>
      <c r="H3" s="67">
        <f t="shared" si="0"/>
        <v>107059.89</v>
      </c>
      <c r="I3" s="9">
        <f t="shared" si="0"/>
        <v>109211.38380000001</v>
      </c>
      <c r="J3" s="9">
        <f t="shared" si="0"/>
        <v>111406.93707600002</v>
      </c>
      <c r="K3" s="9">
        <f t="shared" si="0"/>
        <v>113647.53397752003</v>
      </c>
      <c r="L3" s="9">
        <f t="shared" si="0"/>
        <v>115934.18863307041</v>
      </c>
      <c r="M3" s="9">
        <f t="shared" si="0"/>
        <v>118267.94677933183</v>
      </c>
      <c r="N3" s="9">
        <f t="shared" si="0"/>
        <v>120649.88752587847</v>
      </c>
      <c r="O3" s="10">
        <f t="shared" si="0"/>
        <v>123081.12526845204</v>
      </c>
    </row>
    <row r="4" spans="1:15" ht="18.75">
      <c r="A4" s="3" t="s">
        <v>5</v>
      </c>
      <c r="B4" s="3">
        <f>B5+B6</f>
        <v>33883.1</v>
      </c>
      <c r="C4" s="9">
        <f aca="true" t="shared" si="1" ref="C4:O4">C5+C6</f>
        <v>31869.002</v>
      </c>
      <c r="D4" s="9">
        <f t="shared" si="1"/>
        <v>31766.566039999998</v>
      </c>
      <c r="E4" s="9">
        <f t="shared" si="1"/>
        <v>72701.1</v>
      </c>
      <c r="F4" s="9">
        <f t="shared" si="1"/>
        <v>53584.5</v>
      </c>
      <c r="G4" s="9">
        <f t="shared" si="1"/>
        <v>54279.1</v>
      </c>
      <c r="H4" s="9">
        <f t="shared" si="1"/>
        <v>55374.041999999994</v>
      </c>
      <c r="I4" s="9">
        <f t="shared" si="1"/>
        <v>56491.81884000001</v>
      </c>
      <c r="J4" s="9">
        <f t="shared" si="1"/>
        <v>57632.98081680001</v>
      </c>
      <c r="K4" s="9">
        <f t="shared" si="1"/>
        <v>58798.09859313602</v>
      </c>
      <c r="L4" s="9">
        <f t="shared" si="1"/>
        <v>59987.76454099873</v>
      </c>
      <c r="M4" s="9">
        <f t="shared" si="1"/>
        <v>61202.5942054187</v>
      </c>
      <c r="N4" s="9">
        <f t="shared" si="1"/>
        <v>62443.22790048708</v>
      </c>
      <c r="O4" s="10">
        <f t="shared" si="1"/>
        <v>63710.33245055283</v>
      </c>
    </row>
    <row r="5" spans="1:15" ht="18.75">
      <c r="A5" s="5" t="s">
        <v>6</v>
      </c>
      <c r="B5" s="3">
        <f>B15</f>
        <v>24196.5</v>
      </c>
      <c r="C5" s="9">
        <f aca="true" t="shared" si="2" ref="C5:O5">C15</f>
        <v>21911.87</v>
      </c>
      <c r="D5" s="9">
        <f t="shared" si="2"/>
        <v>21535.6914</v>
      </c>
      <c r="E5" s="9">
        <f t="shared" si="2"/>
        <v>39929.9</v>
      </c>
      <c r="F5" s="9">
        <f t="shared" si="2"/>
        <v>39860.9</v>
      </c>
      <c r="G5" s="9">
        <f t="shared" si="2"/>
        <v>40543</v>
      </c>
      <c r="H5" s="9">
        <f t="shared" si="2"/>
        <v>41363.219999999994</v>
      </c>
      <c r="I5" s="9">
        <f t="shared" si="2"/>
        <v>42200.78040000001</v>
      </c>
      <c r="J5" s="9">
        <f t="shared" si="2"/>
        <v>43056.12160800001</v>
      </c>
      <c r="K5" s="9">
        <f t="shared" si="2"/>
        <v>43929.70220016001</v>
      </c>
      <c r="L5" s="9">
        <f t="shared" si="2"/>
        <v>44822.00022016321</v>
      </c>
      <c r="M5" s="9">
        <f t="shared" si="2"/>
        <v>45733.514598166475</v>
      </c>
      <c r="N5" s="9">
        <f t="shared" si="2"/>
        <v>46664.7667010898</v>
      </c>
      <c r="O5" s="10">
        <f t="shared" si="2"/>
        <v>47616.30202716761</v>
      </c>
    </row>
    <row r="6" spans="1:15" ht="18.75">
      <c r="A6" s="5" t="s">
        <v>7</v>
      </c>
      <c r="B6" s="3">
        <f>B26</f>
        <v>9686.6</v>
      </c>
      <c r="C6" s="9">
        <f aca="true" t="shared" si="3" ref="C6:O6">C26</f>
        <v>9957.132</v>
      </c>
      <c r="D6" s="9">
        <f t="shared" si="3"/>
        <v>10230.87464</v>
      </c>
      <c r="E6" s="9">
        <f t="shared" si="3"/>
        <v>32771.2</v>
      </c>
      <c r="F6" s="9">
        <f t="shared" si="3"/>
        <v>13723.6</v>
      </c>
      <c r="G6" s="9">
        <f t="shared" si="3"/>
        <v>13736.1</v>
      </c>
      <c r="H6" s="9">
        <f t="shared" si="3"/>
        <v>14010.822</v>
      </c>
      <c r="I6" s="9">
        <f t="shared" si="3"/>
        <v>14291.03844</v>
      </c>
      <c r="J6" s="9">
        <f t="shared" si="3"/>
        <v>14576.859208800002</v>
      </c>
      <c r="K6" s="9">
        <f t="shared" si="3"/>
        <v>14868.396392976003</v>
      </c>
      <c r="L6" s="9">
        <f t="shared" si="3"/>
        <v>15165.76432083552</v>
      </c>
      <c r="M6" s="9">
        <f t="shared" si="3"/>
        <v>15469.079607252232</v>
      </c>
      <c r="N6" s="9">
        <f t="shared" si="3"/>
        <v>15778.461199397278</v>
      </c>
      <c r="O6" s="10">
        <f t="shared" si="3"/>
        <v>16094.030423385222</v>
      </c>
    </row>
    <row r="7" spans="1:15" ht="75">
      <c r="A7" s="3" t="s">
        <v>8</v>
      </c>
      <c r="B7" s="3">
        <f>B34</f>
        <v>67921.6</v>
      </c>
      <c r="C7" s="9">
        <f aca="true" t="shared" si="4" ref="C7:O7">C34</f>
        <v>66193.6</v>
      </c>
      <c r="D7" s="9">
        <f t="shared" si="4"/>
        <v>66799.1</v>
      </c>
      <c r="E7" s="9">
        <f t="shared" si="4"/>
        <v>75638.6</v>
      </c>
      <c r="F7" s="9">
        <f t="shared" si="4"/>
        <v>50672.4</v>
      </c>
      <c r="G7" s="9">
        <f t="shared" si="4"/>
        <v>50672.4</v>
      </c>
      <c r="H7" s="9">
        <f>H34</f>
        <v>51685.848000000005</v>
      </c>
      <c r="I7" s="9">
        <f t="shared" si="4"/>
        <v>52719.56496</v>
      </c>
      <c r="J7" s="9">
        <f t="shared" si="4"/>
        <v>53773.95625920001</v>
      </c>
      <c r="K7" s="9">
        <f t="shared" si="4"/>
        <v>54849.43538438401</v>
      </c>
      <c r="L7" s="9">
        <f t="shared" si="4"/>
        <v>55946.42409207169</v>
      </c>
      <c r="M7" s="9">
        <f t="shared" si="4"/>
        <v>57065.35257391313</v>
      </c>
      <c r="N7" s="9">
        <f t="shared" si="4"/>
        <v>58206.659625391396</v>
      </c>
      <c r="O7" s="10">
        <f t="shared" si="4"/>
        <v>59370.79281789922</v>
      </c>
    </row>
    <row r="8" spans="1:15" ht="93.75">
      <c r="A8" s="2" t="s">
        <v>9</v>
      </c>
      <c r="B8" s="3">
        <f>B41</f>
        <v>102864.90000000001</v>
      </c>
      <c r="C8" s="9">
        <f>C41</f>
        <v>99367.4934</v>
      </c>
      <c r="D8" s="9">
        <f>D41</f>
        <v>99864.330867</v>
      </c>
      <c r="E8" s="9">
        <f>E41</f>
        <v>147753.49999999997</v>
      </c>
      <c r="F8" s="9">
        <f aca="true" t="shared" si="5" ref="F8:O8">F41</f>
        <v>103084.50000000001</v>
      </c>
      <c r="G8" s="9">
        <f t="shared" si="5"/>
        <v>103779.1</v>
      </c>
      <c r="H8" s="9">
        <f t="shared" si="5"/>
        <v>105728.2821</v>
      </c>
      <c r="I8" s="9">
        <f t="shared" si="5"/>
        <v>107879.79837827999</v>
      </c>
      <c r="J8" s="9">
        <f t="shared" si="5"/>
        <v>111406.94456595491</v>
      </c>
      <c r="K8" s="9">
        <f t="shared" si="5"/>
        <v>113647.49317791659</v>
      </c>
      <c r="L8" s="9">
        <f t="shared" si="5"/>
        <v>115934.21412606878</v>
      </c>
      <c r="M8" s="9">
        <f t="shared" si="5"/>
        <v>118267.98783907732</v>
      </c>
      <c r="N8" s="9">
        <f t="shared" si="5"/>
        <v>120649.93174178993</v>
      </c>
      <c r="O8" s="9">
        <f t="shared" si="5"/>
        <v>123081.10622985337</v>
      </c>
    </row>
    <row r="9" spans="1:15" s="55" customFormat="1" ht="18.75">
      <c r="A9" s="53" t="s">
        <v>10</v>
      </c>
      <c r="B9" s="67">
        <f>B3-B8</f>
        <v>-1060.199999999997</v>
      </c>
      <c r="C9" s="67">
        <f aca="true" t="shared" si="6" ref="C9:N9">C3-C8</f>
        <v>-1304.8913999999932</v>
      </c>
      <c r="D9" s="67">
        <f t="shared" si="6"/>
        <v>-1298.664826999986</v>
      </c>
      <c r="E9" s="67">
        <f t="shared" si="6"/>
        <v>586.2000000000407</v>
      </c>
      <c r="F9" s="67">
        <f t="shared" si="6"/>
        <v>1172.3999999999796</v>
      </c>
      <c r="G9" s="67">
        <f t="shared" si="6"/>
        <v>1172.3999999999942</v>
      </c>
      <c r="H9" s="67">
        <f t="shared" si="6"/>
        <v>1331.6079000000027</v>
      </c>
      <c r="I9" s="67">
        <f t="shared" si="6"/>
        <v>1331.585421720025</v>
      </c>
      <c r="J9" s="67">
        <f t="shared" si="6"/>
        <v>-0.007489954892662354</v>
      </c>
      <c r="K9" s="67">
        <f t="shared" si="6"/>
        <v>0.040799603433697484</v>
      </c>
      <c r="L9" s="67">
        <f t="shared" si="6"/>
        <v>-0.02549299836391583</v>
      </c>
      <c r="M9" s="67">
        <f t="shared" si="6"/>
        <v>-0.04105974549020175</v>
      </c>
      <c r="N9" s="67">
        <f t="shared" si="6"/>
        <v>-0.04421591146092396</v>
      </c>
      <c r="O9" s="67">
        <f>O3-O8</f>
        <v>0.019038598678889684</v>
      </c>
    </row>
    <row r="10" spans="1:15" ht="18.75">
      <c r="A10" s="2" t="s">
        <v>11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5" ht="131.2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3">
        <f>B14+B34</f>
        <v>101804.70000000001</v>
      </c>
      <c r="C13" s="9">
        <f aca="true" t="shared" si="7" ref="C13:O13">C14+C34</f>
        <v>98062.60200000001</v>
      </c>
      <c r="D13" s="9">
        <f t="shared" si="7"/>
        <v>98565.66604000001</v>
      </c>
      <c r="E13" s="9">
        <f t="shared" si="7"/>
        <v>148339.7</v>
      </c>
      <c r="F13" s="9">
        <f t="shared" si="7"/>
        <v>104256.9</v>
      </c>
      <c r="G13" s="9">
        <f t="shared" si="7"/>
        <v>104951.5</v>
      </c>
      <c r="H13" s="9">
        <f t="shared" si="7"/>
        <v>107059.89</v>
      </c>
      <c r="I13" s="9">
        <f t="shared" si="7"/>
        <v>109211.38380000001</v>
      </c>
      <c r="J13" s="9">
        <f t="shared" si="7"/>
        <v>111406.93707600002</v>
      </c>
      <c r="K13" s="9">
        <f t="shared" si="7"/>
        <v>113647.53397752003</v>
      </c>
      <c r="L13" s="9">
        <f t="shared" si="7"/>
        <v>115934.18863307041</v>
      </c>
      <c r="M13" s="9">
        <f t="shared" si="7"/>
        <v>118267.94677933183</v>
      </c>
      <c r="N13" s="9">
        <f t="shared" si="7"/>
        <v>120649.88752587847</v>
      </c>
      <c r="O13" s="9">
        <f t="shared" si="7"/>
        <v>123081.12526845204</v>
      </c>
    </row>
    <row r="14" spans="1:15" ht="37.5">
      <c r="A14" s="6" t="s">
        <v>24</v>
      </c>
      <c r="B14" s="3">
        <f>B15+B26</f>
        <v>33883.1</v>
      </c>
      <c r="C14" s="9">
        <f aca="true" t="shared" si="8" ref="C14:O14">C15+C26</f>
        <v>31869.002</v>
      </c>
      <c r="D14" s="9">
        <f t="shared" si="8"/>
        <v>31766.566039999998</v>
      </c>
      <c r="E14" s="9">
        <f t="shared" si="8"/>
        <v>72701.1</v>
      </c>
      <c r="F14" s="9">
        <f t="shared" si="8"/>
        <v>53584.5</v>
      </c>
      <c r="G14" s="9">
        <f t="shared" si="8"/>
        <v>54279.1</v>
      </c>
      <c r="H14" s="9">
        <f t="shared" si="8"/>
        <v>55374.041999999994</v>
      </c>
      <c r="I14" s="9">
        <f t="shared" si="8"/>
        <v>56491.81884000001</v>
      </c>
      <c r="J14" s="9">
        <f t="shared" si="8"/>
        <v>57632.98081680001</v>
      </c>
      <c r="K14" s="9">
        <f t="shared" si="8"/>
        <v>58798.09859313602</v>
      </c>
      <c r="L14" s="9">
        <f t="shared" si="8"/>
        <v>59987.76454099873</v>
      </c>
      <c r="M14" s="9">
        <f t="shared" si="8"/>
        <v>61202.5942054187</v>
      </c>
      <c r="N14" s="9">
        <f t="shared" si="8"/>
        <v>62443.22790048708</v>
      </c>
      <c r="O14" s="9">
        <f t="shared" si="8"/>
        <v>63710.33245055283</v>
      </c>
    </row>
    <row r="15" spans="1:15" ht="19.5">
      <c r="A15" s="7" t="s">
        <v>25</v>
      </c>
      <c r="B15" s="9">
        <f>B16+B17+B18+B19+B20+B21+B22+B23+B24+B25</f>
        <v>24196.5</v>
      </c>
      <c r="C15" s="9">
        <f aca="true" t="shared" si="9" ref="C15:O15">C16+C17+C18+C19+C20+C21+C22+C23+C24+C25</f>
        <v>21911.87</v>
      </c>
      <c r="D15" s="9">
        <f t="shared" si="9"/>
        <v>21535.6914</v>
      </c>
      <c r="E15" s="9">
        <f t="shared" si="9"/>
        <v>39929.9</v>
      </c>
      <c r="F15" s="9">
        <f t="shared" si="9"/>
        <v>39860.9</v>
      </c>
      <c r="G15" s="9">
        <f t="shared" si="9"/>
        <v>40543</v>
      </c>
      <c r="H15" s="9">
        <f t="shared" si="9"/>
        <v>41363.219999999994</v>
      </c>
      <c r="I15" s="9">
        <f t="shared" si="9"/>
        <v>42200.78040000001</v>
      </c>
      <c r="J15" s="9">
        <f t="shared" si="9"/>
        <v>43056.12160800001</v>
      </c>
      <c r="K15" s="9">
        <f t="shared" si="9"/>
        <v>43929.70220016001</v>
      </c>
      <c r="L15" s="9">
        <f t="shared" si="9"/>
        <v>44822.00022016321</v>
      </c>
      <c r="M15" s="9">
        <f t="shared" si="9"/>
        <v>45733.514598166475</v>
      </c>
      <c r="N15" s="9">
        <f t="shared" si="9"/>
        <v>46664.7667010898</v>
      </c>
      <c r="O15" s="9">
        <f t="shared" si="9"/>
        <v>47616.30202716761</v>
      </c>
    </row>
    <row r="16" spans="1:15" ht="18.75">
      <c r="A16" s="8" t="s">
        <v>26</v>
      </c>
      <c r="B16" s="3">
        <v>17378.2</v>
      </c>
      <c r="C16" s="9">
        <f>B16*1.02</f>
        <v>17725.764000000003</v>
      </c>
      <c r="D16" s="9">
        <f aca="true" t="shared" si="10" ref="D16:O16">C16*1.02</f>
        <v>18080.279280000002</v>
      </c>
      <c r="E16" s="9">
        <v>29945</v>
      </c>
      <c r="F16" s="9">
        <v>30973.5</v>
      </c>
      <c r="G16" s="9">
        <v>31879.7</v>
      </c>
      <c r="H16" s="9">
        <f t="shared" si="10"/>
        <v>32517.294</v>
      </c>
      <c r="I16" s="9">
        <f t="shared" si="10"/>
        <v>33167.63988</v>
      </c>
      <c r="J16" s="9">
        <f t="shared" si="10"/>
        <v>33830.99267760001</v>
      </c>
      <c r="K16" s="9">
        <f t="shared" si="10"/>
        <v>34507.61253115201</v>
      </c>
      <c r="L16" s="9">
        <f t="shared" si="10"/>
        <v>35197.76478177505</v>
      </c>
      <c r="M16" s="9">
        <f t="shared" si="10"/>
        <v>35901.72007741055</v>
      </c>
      <c r="N16" s="9">
        <f t="shared" si="10"/>
        <v>36619.75447895876</v>
      </c>
      <c r="O16" s="9">
        <f t="shared" si="10"/>
        <v>37352.14956853794</v>
      </c>
    </row>
    <row r="17" spans="1:15" ht="56.25">
      <c r="A17" s="8" t="s">
        <v>27</v>
      </c>
      <c r="B17" s="3">
        <v>2446.3</v>
      </c>
      <c r="C17" s="9">
        <f>B17*1.02</f>
        <v>2495.226</v>
      </c>
      <c r="D17" s="9">
        <f aca="true" t="shared" si="11" ref="D17:O17">C17*1.02</f>
        <v>2545.13052</v>
      </c>
      <c r="E17" s="9">
        <v>6491.8</v>
      </c>
      <c r="F17" s="9">
        <v>6491.8</v>
      </c>
      <c r="G17" s="9">
        <v>6491.8</v>
      </c>
      <c r="H17" s="9">
        <f t="shared" si="11"/>
        <v>6621.636</v>
      </c>
      <c r="I17" s="9">
        <f t="shared" si="11"/>
        <v>6754.06872</v>
      </c>
      <c r="J17" s="9">
        <f t="shared" si="11"/>
        <v>6889.1500944</v>
      </c>
      <c r="K17" s="9">
        <f t="shared" si="11"/>
        <v>7026.933096288</v>
      </c>
      <c r="L17" s="9">
        <f t="shared" si="11"/>
        <v>7167.47175821376</v>
      </c>
      <c r="M17" s="9">
        <f t="shared" si="11"/>
        <v>7310.821193378036</v>
      </c>
      <c r="N17" s="9">
        <f t="shared" si="11"/>
        <v>7457.037617245596</v>
      </c>
      <c r="O17" s="9">
        <f t="shared" si="11"/>
        <v>7606.178369590509</v>
      </c>
    </row>
    <row r="18" spans="1:15" ht="37.5">
      <c r="A18" s="8" t="s">
        <v>28</v>
      </c>
      <c r="B18" s="3">
        <v>3500</v>
      </c>
      <c r="C18" s="3">
        <v>800</v>
      </c>
      <c r="D18" s="3">
        <v>0</v>
      </c>
      <c r="E18" s="3">
        <v>1520</v>
      </c>
      <c r="F18" s="3">
        <v>300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37.5">
      <c r="A19" s="8" t="s">
        <v>29</v>
      </c>
      <c r="B19" s="3">
        <v>105</v>
      </c>
      <c r="C19" s="9">
        <f>B19*1.02</f>
        <v>107.10000000000001</v>
      </c>
      <c r="D19" s="9">
        <f aca="true" t="shared" si="12" ref="D19:O19">C19*1.02</f>
        <v>109.242</v>
      </c>
      <c r="E19" s="9">
        <v>718.1</v>
      </c>
      <c r="F19" s="9">
        <v>784.6</v>
      </c>
      <c r="G19" s="9">
        <v>854.5</v>
      </c>
      <c r="H19" s="9">
        <f t="shared" si="12"/>
        <v>871.59</v>
      </c>
      <c r="I19" s="9">
        <f t="shared" si="12"/>
        <v>889.0218000000001</v>
      </c>
      <c r="J19" s="9">
        <f t="shared" si="12"/>
        <v>906.8022360000001</v>
      </c>
      <c r="K19" s="9">
        <f t="shared" si="12"/>
        <v>924.9382807200001</v>
      </c>
      <c r="L19" s="9">
        <f t="shared" si="12"/>
        <v>943.4370463344001</v>
      </c>
      <c r="M19" s="9">
        <f t="shared" si="12"/>
        <v>962.3057872610881</v>
      </c>
      <c r="N19" s="9">
        <f t="shared" si="12"/>
        <v>981.5519030063099</v>
      </c>
      <c r="O19" s="9">
        <f t="shared" si="12"/>
        <v>1001.1829410664361</v>
      </c>
    </row>
    <row r="20" spans="1:15" ht="56.25">
      <c r="A20" s="8" t="s">
        <v>30</v>
      </c>
      <c r="B20" s="3">
        <v>18</v>
      </c>
      <c r="C20" s="9">
        <f>B20*1.1</f>
        <v>19.8</v>
      </c>
      <c r="D20" s="9">
        <f aca="true" t="shared" si="13" ref="D20:O20">C20*1.1</f>
        <v>21.78</v>
      </c>
      <c r="E20" s="9">
        <v>105</v>
      </c>
      <c r="F20" s="9">
        <v>111</v>
      </c>
      <c r="G20" s="9">
        <v>117</v>
      </c>
      <c r="H20" s="9">
        <f t="shared" si="13"/>
        <v>128.70000000000002</v>
      </c>
      <c r="I20" s="9">
        <f t="shared" si="13"/>
        <v>141.57000000000002</v>
      </c>
      <c r="J20" s="9">
        <f t="shared" si="13"/>
        <v>155.72700000000003</v>
      </c>
      <c r="K20" s="9">
        <f t="shared" si="13"/>
        <v>171.29970000000006</v>
      </c>
      <c r="L20" s="9">
        <f t="shared" si="13"/>
        <v>188.42967000000007</v>
      </c>
      <c r="M20" s="9">
        <f t="shared" si="13"/>
        <v>207.2726370000001</v>
      </c>
      <c r="N20" s="9">
        <f t="shared" si="13"/>
        <v>227.99990070000013</v>
      </c>
      <c r="O20" s="9">
        <f t="shared" si="13"/>
        <v>250.79989077000016</v>
      </c>
    </row>
    <row r="21" spans="1:15" ht="37.5">
      <c r="A21" s="8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8.75">
      <c r="A22" s="8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56.25">
      <c r="A23" s="8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8.75">
      <c r="A24" s="8" t="s">
        <v>34</v>
      </c>
      <c r="B24" s="3">
        <v>749</v>
      </c>
      <c r="C24" s="9">
        <f>B24*1.02</f>
        <v>763.98</v>
      </c>
      <c r="D24" s="9">
        <f aca="true" t="shared" si="14" ref="D24:O24">C24*1.02</f>
        <v>779.2596</v>
      </c>
      <c r="E24" s="9">
        <v>1150</v>
      </c>
      <c r="F24" s="9">
        <v>1200</v>
      </c>
      <c r="G24" s="9">
        <v>1200</v>
      </c>
      <c r="H24" s="9">
        <f t="shared" si="14"/>
        <v>1224</v>
      </c>
      <c r="I24" s="9">
        <f t="shared" si="14"/>
        <v>1248.48</v>
      </c>
      <c r="J24" s="9">
        <f t="shared" si="14"/>
        <v>1273.4496000000001</v>
      </c>
      <c r="K24" s="9">
        <f t="shared" si="14"/>
        <v>1298.9185920000002</v>
      </c>
      <c r="L24" s="9">
        <f t="shared" si="14"/>
        <v>1324.8969638400004</v>
      </c>
      <c r="M24" s="9">
        <f t="shared" si="14"/>
        <v>1351.3949031168004</v>
      </c>
      <c r="N24" s="9">
        <f t="shared" si="14"/>
        <v>1378.4228011791365</v>
      </c>
      <c r="O24" s="9">
        <f t="shared" si="14"/>
        <v>1405.9912572027192</v>
      </c>
    </row>
    <row r="25" spans="1:15" ht="56.25">
      <c r="A25" s="8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9.5">
      <c r="A26" s="7" t="s">
        <v>36</v>
      </c>
      <c r="B26" s="3">
        <f>B27+B28+B29+B30+B31+B32+B33</f>
        <v>9686.6</v>
      </c>
      <c r="C26" s="3">
        <f aca="true" t="shared" si="15" ref="C26:O26">C27+C28+C29+C30+C31+C32+C33</f>
        <v>9957.132</v>
      </c>
      <c r="D26" s="3">
        <f t="shared" si="15"/>
        <v>10230.87464</v>
      </c>
      <c r="E26" s="9">
        <f t="shared" si="15"/>
        <v>32771.2</v>
      </c>
      <c r="F26" s="9">
        <f t="shared" si="15"/>
        <v>13723.6</v>
      </c>
      <c r="G26" s="9">
        <f t="shared" si="15"/>
        <v>13736.1</v>
      </c>
      <c r="H26" s="9">
        <f t="shared" si="15"/>
        <v>14010.822</v>
      </c>
      <c r="I26" s="9">
        <f t="shared" si="15"/>
        <v>14291.03844</v>
      </c>
      <c r="J26" s="9">
        <f t="shared" si="15"/>
        <v>14576.859208800002</v>
      </c>
      <c r="K26" s="9">
        <f t="shared" si="15"/>
        <v>14868.396392976003</v>
      </c>
      <c r="L26" s="9">
        <f t="shared" si="15"/>
        <v>15165.76432083552</v>
      </c>
      <c r="M26" s="9">
        <f t="shared" si="15"/>
        <v>15469.079607252232</v>
      </c>
      <c r="N26" s="9">
        <f t="shared" si="15"/>
        <v>15778.461199397278</v>
      </c>
      <c r="O26" s="9">
        <f t="shared" si="15"/>
        <v>16094.030423385222</v>
      </c>
    </row>
    <row r="27" spans="1:15" ht="75">
      <c r="A27" s="8" t="s">
        <v>37</v>
      </c>
      <c r="B27" s="3">
        <v>660</v>
      </c>
      <c r="C27" s="3">
        <v>670</v>
      </c>
      <c r="D27" s="3">
        <v>680</v>
      </c>
      <c r="E27" s="3">
        <v>975.9</v>
      </c>
      <c r="F27" s="3">
        <v>985.8</v>
      </c>
      <c r="G27" s="3">
        <v>995.8</v>
      </c>
      <c r="H27" s="9">
        <f aca="true" t="shared" si="16" ref="H27:O27">G27*1.02</f>
        <v>1015.716</v>
      </c>
      <c r="I27" s="9">
        <f t="shared" si="16"/>
        <v>1036.03032</v>
      </c>
      <c r="J27" s="9">
        <f t="shared" si="16"/>
        <v>1056.7509264</v>
      </c>
      <c r="K27" s="9">
        <f t="shared" si="16"/>
        <v>1077.885944928</v>
      </c>
      <c r="L27" s="9">
        <f t="shared" si="16"/>
        <v>1099.4436638265602</v>
      </c>
      <c r="M27" s="9">
        <f t="shared" si="16"/>
        <v>1121.4325371030914</v>
      </c>
      <c r="N27" s="9">
        <f t="shared" si="16"/>
        <v>1143.8611878451532</v>
      </c>
      <c r="O27" s="9">
        <f t="shared" si="16"/>
        <v>1166.7384116020562</v>
      </c>
    </row>
    <row r="28" spans="1:15" ht="37.5">
      <c r="A28" s="8" t="s">
        <v>38</v>
      </c>
      <c r="B28" s="3">
        <v>428</v>
      </c>
      <c r="C28" s="9">
        <f>B28*1.02</f>
        <v>436.56</v>
      </c>
      <c r="D28" s="9">
        <f aca="true" t="shared" si="17" ref="D28:O28">C28*1.02</f>
        <v>445.2912</v>
      </c>
      <c r="E28" s="9">
        <v>35.5</v>
      </c>
      <c r="F28" s="9">
        <v>36.9</v>
      </c>
      <c r="G28" s="9">
        <v>38.3</v>
      </c>
      <c r="H28" s="9">
        <f>G28*1.02</f>
        <v>39.065999999999995</v>
      </c>
      <c r="I28" s="9">
        <f t="shared" si="17"/>
        <v>39.847319999999996</v>
      </c>
      <c r="J28" s="9">
        <f t="shared" si="17"/>
        <v>40.6442664</v>
      </c>
      <c r="K28" s="9">
        <f t="shared" si="17"/>
        <v>41.457151728</v>
      </c>
      <c r="L28" s="9">
        <f t="shared" si="17"/>
        <v>42.28629476256</v>
      </c>
      <c r="M28" s="9">
        <f t="shared" si="17"/>
        <v>43.132020657811196</v>
      </c>
      <c r="N28" s="9">
        <f t="shared" si="17"/>
        <v>43.994661070967425</v>
      </c>
      <c r="O28" s="9">
        <f t="shared" si="17"/>
        <v>44.874554292386776</v>
      </c>
    </row>
    <row r="29" spans="1:15" ht="56.25">
      <c r="A29" s="8" t="s">
        <v>39</v>
      </c>
      <c r="B29" s="3">
        <v>6727.7</v>
      </c>
      <c r="C29" s="9">
        <f>B29*1.02</f>
        <v>6862.254</v>
      </c>
      <c r="D29" s="9">
        <f>C29*1.02</f>
        <v>6999.49908</v>
      </c>
      <c r="E29" s="9">
        <v>11749.7</v>
      </c>
      <c r="F29" s="9">
        <v>11750.3</v>
      </c>
      <c r="G29" s="9">
        <v>11750.9</v>
      </c>
      <c r="H29" s="9">
        <f>G29*1.02</f>
        <v>11985.918</v>
      </c>
      <c r="I29" s="9">
        <f aca="true" t="shared" si="18" ref="I29:O30">H29*1.02</f>
        <v>12225.63636</v>
      </c>
      <c r="J29" s="9">
        <f t="shared" si="18"/>
        <v>12470.149087200001</v>
      </c>
      <c r="K29" s="9">
        <f t="shared" si="18"/>
        <v>12719.552068944002</v>
      </c>
      <c r="L29" s="9">
        <f t="shared" si="18"/>
        <v>12973.943110322882</v>
      </c>
      <c r="M29" s="9">
        <f t="shared" si="18"/>
        <v>13233.421972529339</v>
      </c>
      <c r="N29" s="9">
        <f t="shared" si="18"/>
        <v>13498.090411979925</v>
      </c>
      <c r="O29" s="9">
        <f t="shared" si="18"/>
        <v>13768.052220219524</v>
      </c>
    </row>
    <row r="30" spans="1:15" ht="37.5">
      <c r="A30" s="8" t="s">
        <v>40</v>
      </c>
      <c r="B30" s="3">
        <v>1000</v>
      </c>
      <c r="C30" s="3">
        <v>1100</v>
      </c>
      <c r="D30" s="3">
        <v>1200</v>
      </c>
      <c r="E30" s="3">
        <v>19770</v>
      </c>
      <c r="F30" s="3">
        <v>710</v>
      </c>
      <c r="G30" s="3">
        <v>710</v>
      </c>
      <c r="H30" s="9">
        <f>G30*1.02</f>
        <v>724.2</v>
      </c>
      <c r="I30" s="9">
        <f t="shared" si="18"/>
        <v>738.6840000000001</v>
      </c>
      <c r="J30" s="9">
        <f t="shared" si="18"/>
        <v>753.4576800000001</v>
      </c>
      <c r="K30" s="9">
        <f t="shared" si="18"/>
        <v>768.5268336000001</v>
      </c>
      <c r="L30" s="9">
        <f t="shared" si="18"/>
        <v>783.8973702720002</v>
      </c>
      <c r="M30" s="9">
        <f t="shared" si="18"/>
        <v>799.5753176774402</v>
      </c>
      <c r="N30" s="9">
        <f t="shared" si="18"/>
        <v>815.5668240309891</v>
      </c>
      <c r="O30" s="9">
        <f t="shared" si="18"/>
        <v>831.8781605116089</v>
      </c>
    </row>
    <row r="31" spans="1:15" ht="37.5">
      <c r="A31" s="8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37.5">
      <c r="A32" s="8" t="s">
        <v>42</v>
      </c>
      <c r="B32" s="3">
        <v>870.9</v>
      </c>
      <c r="C32" s="9">
        <f>B32*1.02</f>
        <v>888.318</v>
      </c>
      <c r="D32" s="9">
        <f aca="true" t="shared" si="19" ref="D32:O32">C32*1.02</f>
        <v>906.08436</v>
      </c>
      <c r="E32" s="9">
        <v>240.1</v>
      </c>
      <c r="F32" s="9">
        <v>240.6</v>
      </c>
      <c r="G32" s="9">
        <v>241.1</v>
      </c>
      <c r="H32" s="9">
        <f t="shared" si="19"/>
        <v>245.922</v>
      </c>
      <c r="I32" s="9">
        <f t="shared" si="19"/>
        <v>250.84044</v>
      </c>
      <c r="J32" s="9">
        <f t="shared" si="19"/>
        <v>255.8572488</v>
      </c>
      <c r="K32" s="9">
        <f t="shared" si="19"/>
        <v>260.974393776</v>
      </c>
      <c r="L32" s="9">
        <f t="shared" si="19"/>
        <v>266.19388165152003</v>
      </c>
      <c r="M32" s="9">
        <f t="shared" si="19"/>
        <v>271.51775928455044</v>
      </c>
      <c r="N32" s="9">
        <f t="shared" si="19"/>
        <v>276.9481144702415</v>
      </c>
      <c r="O32" s="9">
        <f t="shared" si="19"/>
        <v>282.4870767596463</v>
      </c>
    </row>
    <row r="33" spans="1:15" ht="18.75">
      <c r="A33" s="8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75">
      <c r="A34" s="6" t="s">
        <v>44</v>
      </c>
      <c r="B34" s="9">
        <f>B36+B37+B38+B35</f>
        <v>67921.6</v>
      </c>
      <c r="C34" s="9">
        <f aca="true" t="shared" si="20" ref="C34:O34">C36+C37+C38+C35</f>
        <v>66193.6</v>
      </c>
      <c r="D34" s="9">
        <f t="shared" si="20"/>
        <v>66799.1</v>
      </c>
      <c r="E34" s="9">
        <f t="shared" si="20"/>
        <v>75638.6</v>
      </c>
      <c r="F34" s="9">
        <f t="shared" si="20"/>
        <v>50672.4</v>
      </c>
      <c r="G34" s="9">
        <f t="shared" si="20"/>
        <v>50672.4</v>
      </c>
      <c r="H34" s="9">
        <f t="shared" si="20"/>
        <v>51685.848000000005</v>
      </c>
      <c r="I34" s="9">
        <f t="shared" si="20"/>
        <v>52719.56496</v>
      </c>
      <c r="J34" s="9">
        <f t="shared" si="20"/>
        <v>53773.95625920001</v>
      </c>
      <c r="K34" s="9">
        <f t="shared" si="20"/>
        <v>54849.43538438401</v>
      </c>
      <c r="L34" s="9">
        <f t="shared" si="20"/>
        <v>55946.42409207169</v>
      </c>
      <c r="M34" s="9">
        <f t="shared" si="20"/>
        <v>57065.35257391313</v>
      </c>
      <c r="N34" s="9">
        <f t="shared" si="20"/>
        <v>58206.659625391396</v>
      </c>
      <c r="O34" s="9">
        <f t="shared" si="20"/>
        <v>59370.79281789922</v>
      </c>
    </row>
    <row r="35" spans="1:15" ht="18.75">
      <c r="A35" s="8" t="s">
        <v>45</v>
      </c>
      <c r="B35" s="3">
        <v>67921.6</v>
      </c>
      <c r="C35" s="9">
        <v>66193.6</v>
      </c>
      <c r="D35" s="9">
        <v>66799.1</v>
      </c>
      <c r="E35" s="9">
        <v>75638.6</v>
      </c>
      <c r="F35" s="9">
        <v>50672.4</v>
      </c>
      <c r="G35" s="9">
        <v>50672.4</v>
      </c>
      <c r="H35" s="9">
        <f>G35*1.02</f>
        <v>51685.848000000005</v>
      </c>
      <c r="I35" s="9">
        <f aca="true" t="shared" si="21" ref="I35:O35">H35*1.02</f>
        <v>52719.56496</v>
      </c>
      <c r="J35" s="9">
        <f t="shared" si="21"/>
        <v>53773.95625920001</v>
      </c>
      <c r="K35" s="9">
        <f t="shared" si="21"/>
        <v>54849.43538438401</v>
      </c>
      <c r="L35" s="9">
        <f t="shared" si="21"/>
        <v>55946.42409207169</v>
      </c>
      <c r="M35" s="9">
        <f t="shared" si="21"/>
        <v>57065.35257391313</v>
      </c>
      <c r="N35" s="9">
        <f t="shared" si="21"/>
        <v>58206.659625391396</v>
      </c>
      <c r="O35" s="9">
        <f t="shared" si="21"/>
        <v>59370.79281789922</v>
      </c>
    </row>
    <row r="36" spans="1:15" ht="56.25">
      <c r="A36" s="8" t="s">
        <v>46</v>
      </c>
      <c r="B36" s="3">
        <v>0</v>
      </c>
      <c r="C36" s="3">
        <f>B36*1.03</f>
        <v>0</v>
      </c>
      <c r="D36" s="3">
        <f aca="true" t="shared" si="22" ref="D36:O36">C36*1.03</f>
        <v>0</v>
      </c>
      <c r="E36" s="3">
        <f t="shared" si="22"/>
        <v>0</v>
      </c>
      <c r="F36" s="3">
        <f t="shared" si="22"/>
        <v>0</v>
      </c>
      <c r="G36" s="3">
        <f t="shared" si="22"/>
        <v>0</v>
      </c>
      <c r="H36" s="3">
        <f t="shared" si="22"/>
        <v>0</v>
      </c>
      <c r="I36" s="3">
        <f t="shared" si="22"/>
        <v>0</v>
      </c>
      <c r="J36" s="3">
        <f t="shared" si="22"/>
        <v>0</v>
      </c>
      <c r="K36" s="3">
        <f t="shared" si="22"/>
        <v>0</v>
      </c>
      <c r="L36" s="3">
        <f t="shared" si="22"/>
        <v>0</v>
      </c>
      <c r="M36" s="3">
        <f t="shared" si="22"/>
        <v>0</v>
      </c>
      <c r="N36" s="3">
        <f t="shared" si="22"/>
        <v>0</v>
      </c>
      <c r="O36" s="3">
        <f t="shared" si="22"/>
        <v>0</v>
      </c>
    </row>
    <row r="37" spans="1:15" ht="37.5">
      <c r="A37" s="8" t="s">
        <v>47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37.5">
      <c r="A38" s="8" t="s">
        <v>48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40" spans="1:15" ht="131.2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s="55" customFormat="1" ht="93.75">
      <c r="A41" s="70" t="s">
        <v>49</v>
      </c>
      <c r="B41" s="59">
        <f>B43+B44+B45+B46+B48+B47+B49+B50+B51+B52+B53+B54+B55+B56</f>
        <v>102864.90000000001</v>
      </c>
      <c r="C41" s="67">
        <f aca="true" t="shared" si="23" ref="C41:O41">C43+C44+C45+C46+C48+C47+C49+C50+C51+C52+C53+C54+C55+C56</f>
        <v>99367.4934</v>
      </c>
      <c r="D41" s="67">
        <f t="shared" si="23"/>
        <v>99864.330867</v>
      </c>
      <c r="E41" s="67">
        <f t="shared" si="23"/>
        <v>147753.49999999997</v>
      </c>
      <c r="F41" s="59">
        <f t="shared" si="23"/>
        <v>103084.50000000001</v>
      </c>
      <c r="G41" s="59">
        <f t="shared" si="23"/>
        <v>103779.1</v>
      </c>
      <c r="H41" s="59">
        <f t="shared" si="23"/>
        <v>105728.2821</v>
      </c>
      <c r="I41" s="59">
        <f t="shared" si="23"/>
        <v>107879.79837827999</v>
      </c>
      <c r="J41" s="59">
        <f t="shared" si="23"/>
        <v>111406.94456595491</v>
      </c>
      <c r="K41" s="59">
        <f t="shared" si="23"/>
        <v>113647.49317791659</v>
      </c>
      <c r="L41" s="59">
        <f t="shared" si="23"/>
        <v>115934.21412606878</v>
      </c>
      <c r="M41" s="59">
        <f t="shared" si="23"/>
        <v>118267.98783907732</v>
      </c>
      <c r="N41" s="59">
        <f t="shared" si="23"/>
        <v>120649.93174178993</v>
      </c>
      <c r="O41" s="59">
        <f t="shared" si="23"/>
        <v>123081.10622985337</v>
      </c>
    </row>
    <row r="42" spans="1:15" ht="18.75">
      <c r="A42" s="8" t="s">
        <v>50</v>
      </c>
      <c r="B42" s="3"/>
      <c r="C42" s="9"/>
      <c r="D42" s="9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55" customFormat="1" ht="18.75">
      <c r="A43" s="69" t="s">
        <v>51</v>
      </c>
      <c r="B43" s="59">
        <v>27223.9</v>
      </c>
      <c r="C43" s="67">
        <f>B43*0.966</f>
        <v>26298.2874</v>
      </c>
      <c r="D43" s="67">
        <f>C43*1.005</f>
        <v>26429.778836999998</v>
      </c>
      <c r="E43" s="67">
        <v>39686.4</v>
      </c>
      <c r="F43" s="67">
        <v>30616.6</v>
      </c>
      <c r="G43" s="67">
        <f>30616.3+1000</f>
        <v>31616.3</v>
      </c>
      <c r="H43" s="67">
        <f>G43*1.0045+790.8</f>
        <v>32549.373349999998</v>
      </c>
      <c r="I43" s="67">
        <f>H43*1.0068+432.6</f>
        <v>33203.30908877999</v>
      </c>
      <c r="J43" s="67">
        <f>I43*1.0076</f>
        <v>33455.654237854724</v>
      </c>
      <c r="K43" s="67">
        <f>J43*1.007+300</f>
        <v>33989.8438175197</v>
      </c>
      <c r="L43" s="67">
        <f>K43*1.0076+300</f>
        <v>34548.166630532854</v>
      </c>
      <c r="M43" s="67">
        <f>L43*1.008+500</f>
        <v>35324.55196357712</v>
      </c>
      <c r="N43" s="67">
        <f>M43*1.008+300</f>
        <v>35907.14837928574</v>
      </c>
      <c r="O43" s="67">
        <f>N43*1.0075+200</f>
        <v>36376.45199213039</v>
      </c>
    </row>
    <row r="44" spans="1:15" s="55" customFormat="1" ht="18.75">
      <c r="A44" s="69" t="s">
        <v>52</v>
      </c>
      <c r="B44" s="59">
        <v>0</v>
      </c>
      <c r="C44" s="67">
        <f aca="true" t="shared" si="24" ref="C44:D54">B44*0.966</f>
        <v>0</v>
      </c>
      <c r="D44" s="67">
        <f aca="true" t="shared" si="25" ref="D44:D53">C44*1.005</f>
        <v>0</v>
      </c>
      <c r="E44" s="67">
        <f>D44*1.0085</f>
        <v>0</v>
      </c>
      <c r="F44" s="67">
        <v>0</v>
      </c>
      <c r="G44" s="67">
        <v>0</v>
      </c>
      <c r="H44" s="67">
        <f aca="true" t="shared" si="26" ref="H44:H54">G44*1.0045</f>
        <v>0</v>
      </c>
      <c r="I44" s="67">
        <f aca="true" t="shared" si="27" ref="I44:I54">H44*1.0068</f>
        <v>0</v>
      </c>
      <c r="J44" s="67">
        <f aca="true" t="shared" si="28" ref="J44:J54">I44*1.0076</f>
        <v>0</v>
      </c>
      <c r="K44" s="67">
        <f aca="true" t="shared" si="29" ref="K44:K54">J44*1.007</f>
        <v>0</v>
      </c>
      <c r="L44" s="67">
        <f aca="true" t="shared" si="30" ref="L44:L54">K44*1.0076</f>
        <v>0</v>
      </c>
      <c r="M44" s="67">
        <f aca="true" t="shared" si="31" ref="M44:N55">L44*1.008</f>
        <v>0</v>
      </c>
      <c r="N44" s="67">
        <f t="shared" si="31"/>
        <v>0</v>
      </c>
      <c r="O44" s="67">
        <f aca="true" t="shared" si="32" ref="O44:O54">N44*1.0075</f>
        <v>0</v>
      </c>
    </row>
    <row r="45" spans="1:15" s="55" customFormat="1" ht="37.5">
      <c r="A45" s="69" t="s">
        <v>53</v>
      </c>
      <c r="B45" s="59">
        <v>41.5</v>
      </c>
      <c r="C45" s="67">
        <f t="shared" si="24"/>
        <v>40.089</v>
      </c>
      <c r="D45" s="67">
        <f t="shared" si="25"/>
        <v>40.28944499999999</v>
      </c>
      <c r="E45" s="67">
        <v>0</v>
      </c>
      <c r="F45" s="67">
        <v>0</v>
      </c>
      <c r="G45" s="67">
        <v>0</v>
      </c>
      <c r="H45" s="67">
        <f t="shared" si="26"/>
        <v>0</v>
      </c>
      <c r="I45" s="67">
        <f t="shared" si="27"/>
        <v>0</v>
      </c>
      <c r="J45" s="67">
        <f t="shared" si="28"/>
        <v>0</v>
      </c>
      <c r="K45" s="67">
        <f t="shared" si="29"/>
        <v>0</v>
      </c>
      <c r="L45" s="67">
        <f t="shared" si="30"/>
        <v>0</v>
      </c>
      <c r="M45" s="67">
        <f t="shared" si="31"/>
        <v>0</v>
      </c>
      <c r="N45" s="67">
        <f t="shared" si="31"/>
        <v>0</v>
      </c>
      <c r="O45" s="67">
        <f t="shared" si="32"/>
        <v>0</v>
      </c>
    </row>
    <row r="46" spans="1:15" s="55" customFormat="1" ht="18.75">
      <c r="A46" s="69" t="s">
        <v>54</v>
      </c>
      <c r="B46" s="59">
        <v>3782.5</v>
      </c>
      <c r="C46" s="67">
        <f t="shared" si="24"/>
        <v>3653.895</v>
      </c>
      <c r="D46" s="67">
        <f t="shared" si="25"/>
        <v>3672.1644749999996</v>
      </c>
      <c r="E46" s="67">
        <v>16120.3</v>
      </c>
      <c r="F46" s="67">
        <v>7605.5</v>
      </c>
      <c r="G46" s="67">
        <v>6491.8</v>
      </c>
      <c r="H46" s="67">
        <f t="shared" si="26"/>
        <v>6521.0131</v>
      </c>
      <c r="I46" s="67">
        <f t="shared" si="27"/>
        <v>6565.35598908</v>
      </c>
      <c r="J46" s="67">
        <f>I46*1.0076+1000</f>
        <v>7615.2526945970085</v>
      </c>
      <c r="K46" s="67">
        <f>J46*1.007+300</f>
        <v>7968.559463459187</v>
      </c>
      <c r="L46" s="67">
        <f>K46*1.0076+500</f>
        <v>8529.120515381477</v>
      </c>
      <c r="M46" s="67">
        <f t="shared" si="31"/>
        <v>8597.353479504529</v>
      </c>
      <c r="N46" s="67">
        <f>M46*1.008+300</f>
        <v>8966.132307340566</v>
      </c>
      <c r="O46" s="67">
        <f>N46*1.0075+200</f>
        <v>9233.378299645621</v>
      </c>
    </row>
    <row r="47" spans="1:15" s="55" customFormat="1" ht="18.75">
      <c r="A47" s="69" t="s">
        <v>55</v>
      </c>
      <c r="B47" s="59">
        <v>4162.5</v>
      </c>
      <c r="C47" s="67">
        <f t="shared" si="24"/>
        <v>4020.975</v>
      </c>
      <c r="D47" s="67">
        <f t="shared" si="25"/>
        <v>4041.0798749999994</v>
      </c>
      <c r="E47" s="67">
        <v>2713</v>
      </c>
      <c r="F47" s="67">
        <v>500</v>
      </c>
      <c r="G47" s="67">
        <v>500</v>
      </c>
      <c r="H47" s="67">
        <f>G47*1.0045+100</f>
        <v>602.25</v>
      </c>
      <c r="I47" s="67">
        <f t="shared" si="27"/>
        <v>606.3453</v>
      </c>
      <c r="J47" s="67">
        <f>I47*1.0076+1000</f>
        <v>1610.95352428</v>
      </c>
      <c r="K47" s="67">
        <f t="shared" si="29"/>
        <v>1622.23019894996</v>
      </c>
      <c r="L47" s="67">
        <f t="shared" si="30"/>
        <v>1634.5591484619797</v>
      </c>
      <c r="M47" s="67">
        <f t="shared" si="31"/>
        <v>1647.6356216496756</v>
      </c>
      <c r="N47" s="67">
        <f t="shared" si="31"/>
        <v>1660.816706622873</v>
      </c>
      <c r="O47" s="67">
        <f t="shared" si="32"/>
        <v>1673.2728319225446</v>
      </c>
    </row>
    <row r="48" spans="1:15" s="55" customFormat="1" ht="18.75">
      <c r="A48" s="69" t="s">
        <v>56</v>
      </c>
      <c r="B48" s="59">
        <v>0</v>
      </c>
      <c r="C48" s="67">
        <f t="shared" si="24"/>
        <v>0</v>
      </c>
      <c r="D48" s="67">
        <f t="shared" si="25"/>
        <v>0</v>
      </c>
      <c r="E48" s="67">
        <f>D48*1.0085</f>
        <v>0</v>
      </c>
      <c r="F48" s="67">
        <v>0</v>
      </c>
      <c r="G48" s="67">
        <v>0</v>
      </c>
      <c r="H48" s="67">
        <f t="shared" si="26"/>
        <v>0</v>
      </c>
      <c r="I48" s="67">
        <f t="shared" si="27"/>
        <v>0</v>
      </c>
      <c r="J48" s="67">
        <f t="shared" si="28"/>
        <v>0</v>
      </c>
      <c r="K48" s="67">
        <f t="shared" si="29"/>
        <v>0</v>
      </c>
      <c r="L48" s="67">
        <f t="shared" si="30"/>
        <v>0</v>
      </c>
      <c r="M48" s="67">
        <f t="shared" si="31"/>
        <v>0</v>
      </c>
      <c r="N48" s="67">
        <f t="shared" si="31"/>
        <v>0</v>
      </c>
      <c r="O48" s="67">
        <f t="shared" si="32"/>
        <v>0</v>
      </c>
    </row>
    <row r="49" spans="1:15" s="55" customFormat="1" ht="18.75">
      <c r="A49" s="69" t="s">
        <v>57</v>
      </c>
      <c r="B49" s="59">
        <v>62975.9</v>
      </c>
      <c r="C49" s="67">
        <f t="shared" si="24"/>
        <v>60834.7194</v>
      </c>
      <c r="D49" s="67">
        <f t="shared" si="25"/>
        <v>61138.892996999995</v>
      </c>
      <c r="E49" s="67">
        <f>81930.3+134.3</f>
        <v>82064.6</v>
      </c>
      <c r="F49" s="67">
        <f>57853.1+2606.4</f>
        <v>60459.5</v>
      </c>
      <c r="G49" s="67">
        <f>56955.1+4313</f>
        <v>61268.1</v>
      </c>
      <c r="H49" s="67">
        <f>G49*1.0045+700-308.6</f>
        <v>61935.20645</v>
      </c>
      <c r="I49" s="67">
        <f>H49*1.0068+1000</f>
        <v>63356.36585385999</v>
      </c>
      <c r="J49" s="67">
        <f>I49*1.0076+1000-487.4</f>
        <v>64350.47423434933</v>
      </c>
      <c r="K49" s="67">
        <f>J49*1.007+760.7</f>
        <v>65561.62755398976</v>
      </c>
      <c r="L49" s="67">
        <f>K49*1.0076+423</f>
        <v>66482.8959234001</v>
      </c>
      <c r="M49" s="67">
        <f>L49*1.008+806.3</f>
        <v>67821.0590907873</v>
      </c>
      <c r="N49" s="67">
        <f>M49*1.008+635.8</f>
        <v>68999.4275635136</v>
      </c>
      <c r="O49" s="67">
        <f>N49*1.0075+926.3</f>
        <v>70443.22327023996</v>
      </c>
    </row>
    <row r="50" spans="1:15" s="55" customFormat="1" ht="18.75">
      <c r="A50" s="69" t="s">
        <v>58</v>
      </c>
      <c r="B50" s="59">
        <v>1300</v>
      </c>
      <c r="C50" s="67">
        <f t="shared" si="24"/>
        <v>1255.8</v>
      </c>
      <c r="D50" s="67">
        <f t="shared" si="25"/>
        <v>1262.0789999999997</v>
      </c>
      <c r="E50" s="67">
        <v>4859.8</v>
      </c>
      <c r="F50" s="67">
        <v>2256.8</v>
      </c>
      <c r="G50" s="67">
        <v>2256.8</v>
      </c>
      <c r="H50" s="67">
        <f>G50*1.0045+200</f>
        <v>2466.9556000000002</v>
      </c>
      <c r="I50" s="67">
        <f t="shared" si="27"/>
        <v>2483.73089808</v>
      </c>
      <c r="J50" s="67">
        <f>I50*1.0076+200</f>
        <v>2702.607252905408</v>
      </c>
      <c r="K50" s="67">
        <f t="shared" si="29"/>
        <v>2721.5255036757458</v>
      </c>
      <c r="L50" s="67">
        <f>K50*1.0076+200</f>
        <v>2942.2090975036817</v>
      </c>
      <c r="M50" s="67">
        <f>L50*1.008+100</f>
        <v>3065.746770283711</v>
      </c>
      <c r="N50" s="67">
        <f>M50*1.008+200</f>
        <v>3290.272744445981</v>
      </c>
      <c r="O50" s="67">
        <f>N50*1.0075+200</f>
        <v>3514.9497900293263</v>
      </c>
    </row>
    <row r="51" spans="1:15" s="55" customFormat="1" ht="18.75">
      <c r="A51" s="69" t="s">
        <v>59</v>
      </c>
      <c r="B51" s="59">
        <v>0</v>
      </c>
      <c r="C51" s="67">
        <f t="shared" si="24"/>
        <v>0</v>
      </c>
      <c r="D51" s="67">
        <f t="shared" si="25"/>
        <v>0</v>
      </c>
      <c r="E51" s="67">
        <f>D51*1.0085</f>
        <v>0</v>
      </c>
      <c r="F51" s="67">
        <v>0</v>
      </c>
      <c r="G51" s="67">
        <v>0</v>
      </c>
      <c r="H51" s="67">
        <f t="shared" si="26"/>
        <v>0</v>
      </c>
      <c r="I51" s="67">
        <f t="shared" si="27"/>
        <v>0</v>
      </c>
      <c r="J51" s="67">
        <f t="shared" si="28"/>
        <v>0</v>
      </c>
      <c r="K51" s="67">
        <f t="shared" si="29"/>
        <v>0</v>
      </c>
      <c r="L51" s="67">
        <f t="shared" si="30"/>
        <v>0</v>
      </c>
      <c r="M51" s="67">
        <f t="shared" si="31"/>
        <v>0</v>
      </c>
      <c r="N51" s="67">
        <f t="shared" si="31"/>
        <v>0</v>
      </c>
      <c r="O51" s="67">
        <f t="shared" si="32"/>
        <v>0</v>
      </c>
    </row>
    <row r="52" spans="1:15" s="55" customFormat="1" ht="18.75">
      <c r="A52" s="69" t="s">
        <v>60</v>
      </c>
      <c r="B52" s="59">
        <v>3145.6</v>
      </c>
      <c r="C52" s="67">
        <f t="shared" si="24"/>
        <v>3038.6495999999997</v>
      </c>
      <c r="D52" s="67">
        <f t="shared" si="25"/>
        <v>3053.8428479999993</v>
      </c>
      <c r="E52" s="67">
        <v>2097.7</v>
      </c>
      <c r="F52" s="67">
        <v>1596.1</v>
      </c>
      <c r="G52" s="67">
        <v>1596.1</v>
      </c>
      <c r="H52" s="67">
        <f t="shared" si="26"/>
        <v>1603.28245</v>
      </c>
      <c r="I52" s="67">
        <f t="shared" si="27"/>
        <v>1614.1847706599997</v>
      </c>
      <c r="J52" s="67">
        <f t="shared" si="28"/>
        <v>1626.4525749170157</v>
      </c>
      <c r="K52" s="67">
        <f t="shared" si="29"/>
        <v>1637.8377429414347</v>
      </c>
      <c r="L52" s="67">
        <f t="shared" si="30"/>
        <v>1650.2853097877896</v>
      </c>
      <c r="M52" s="67">
        <f t="shared" si="31"/>
        <v>1663.487592266092</v>
      </c>
      <c r="N52" s="67">
        <f t="shared" si="31"/>
        <v>1676.7954930042206</v>
      </c>
      <c r="O52" s="67">
        <f t="shared" si="32"/>
        <v>1689.3714592017523</v>
      </c>
    </row>
    <row r="53" spans="1:15" s="55" customFormat="1" ht="18.75">
      <c r="A53" s="69" t="s">
        <v>61</v>
      </c>
      <c r="B53" s="59">
        <v>233</v>
      </c>
      <c r="C53" s="67">
        <f t="shared" si="24"/>
        <v>225.078</v>
      </c>
      <c r="D53" s="67">
        <f t="shared" si="25"/>
        <v>226.20338999999998</v>
      </c>
      <c r="E53" s="67">
        <v>206.4</v>
      </c>
      <c r="F53" s="67">
        <v>44.7</v>
      </c>
      <c r="G53" s="67">
        <v>44.7</v>
      </c>
      <c r="H53" s="67">
        <f t="shared" si="26"/>
        <v>44.90115</v>
      </c>
      <c r="I53" s="67">
        <f t="shared" si="27"/>
        <v>45.206477819999996</v>
      </c>
      <c r="J53" s="67">
        <f t="shared" si="28"/>
        <v>45.550047051431996</v>
      </c>
      <c r="K53" s="67">
        <f>J53*1.007+100</f>
        <v>145.86889738079202</v>
      </c>
      <c r="L53" s="67">
        <f>K53*1.0076</f>
        <v>146.97750100088604</v>
      </c>
      <c r="M53" s="67">
        <f t="shared" si="31"/>
        <v>148.15332100889313</v>
      </c>
      <c r="N53" s="67">
        <f t="shared" si="31"/>
        <v>149.3385475769643</v>
      </c>
      <c r="O53" s="67">
        <f t="shared" si="32"/>
        <v>150.45858668379154</v>
      </c>
    </row>
    <row r="54" spans="1:15" s="55" customFormat="1" ht="18.75">
      <c r="A54" s="69" t="s">
        <v>62</v>
      </c>
      <c r="B54" s="59">
        <v>0</v>
      </c>
      <c r="C54" s="67">
        <f t="shared" si="24"/>
        <v>0</v>
      </c>
      <c r="D54" s="67">
        <f t="shared" si="24"/>
        <v>0</v>
      </c>
      <c r="E54" s="67">
        <f>D54*1.0314</f>
        <v>0</v>
      </c>
      <c r="F54" s="67">
        <v>0</v>
      </c>
      <c r="G54" s="67">
        <v>0</v>
      </c>
      <c r="H54" s="67">
        <f t="shared" si="26"/>
        <v>0</v>
      </c>
      <c r="I54" s="67">
        <f t="shared" si="27"/>
        <v>0</v>
      </c>
      <c r="J54" s="67">
        <f t="shared" si="28"/>
        <v>0</v>
      </c>
      <c r="K54" s="67">
        <f t="shared" si="29"/>
        <v>0</v>
      </c>
      <c r="L54" s="67">
        <f t="shared" si="30"/>
        <v>0</v>
      </c>
      <c r="M54" s="67">
        <f t="shared" si="31"/>
        <v>0</v>
      </c>
      <c r="N54" s="67">
        <f t="shared" si="31"/>
        <v>0</v>
      </c>
      <c r="O54" s="67">
        <f t="shared" si="32"/>
        <v>0</v>
      </c>
    </row>
    <row r="55" spans="1:15" s="55" customFormat="1" ht="37.5">
      <c r="A55" s="69" t="s">
        <v>63</v>
      </c>
      <c r="B55" s="59">
        <v>0</v>
      </c>
      <c r="C55" s="67"/>
      <c r="D55" s="67">
        <f>C55*0.966</f>
        <v>0</v>
      </c>
      <c r="E55" s="67">
        <v>5.3</v>
      </c>
      <c r="F55" s="67">
        <v>5.3</v>
      </c>
      <c r="G55" s="67">
        <v>5.3</v>
      </c>
      <c r="H55" s="67">
        <v>5.3</v>
      </c>
      <c r="I55" s="67">
        <v>5.3</v>
      </c>
      <c r="J55" s="66"/>
      <c r="K55" s="66"/>
      <c r="L55" s="66"/>
      <c r="M55" s="67">
        <f t="shared" si="31"/>
        <v>0</v>
      </c>
      <c r="N55" s="66"/>
      <c r="O55" s="66"/>
    </row>
    <row r="56" spans="1:15" ht="75">
      <c r="A56" s="8" t="s">
        <v>64</v>
      </c>
      <c r="B56" s="3">
        <v>0</v>
      </c>
      <c r="C56" s="3">
        <f>B56-B56*3/100</f>
        <v>0</v>
      </c>
      <c r="D56" s="9">
        <f>C56+C56*0.4/100</f>
        <v>0</v>
      </c>
      <c r="E56" s="3">
        <f>D56+D56*0.2/100</f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8" spans="1:15" ht="131.2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/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>
      <c r="A60" s="8" t="s">
        <v>66</v>
      </c>
      <c r="B60" s="3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8.75">
      <c r="A61" s="8" t="s">
        <v>67</v>
      </c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>
      <c r="A62" s="8" t="s">
        <v>68</v>
      </c>
      <c r="B62" s="3"/>
      <c r="C62" s="3"/>
      <c r="D62" s="3"/>
      <c r="E62" s="48"/>
      <c r="F62" s="47"/>
      <c r="G62" s="47"/>
      <c r="H62" s="47"/>
      <c r="I62" s="47"/>
      <c r="J62" s="47"/>
      <c r="K62" s="4"/>
      <c r="L62" s="4"/>
      <c r="M62" s="4"/>
      <c r="N62" s="4"/>
      <c r="O62" s="4"/>
    </row>
    <row r="63" spans="1:15" ht="18.75">
      <c r="A63" s="8" t="s">
        <v>69</v>
      </c>
      <c r="B63" s="3"/>
      <c r="C63" s="3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</row>
  </sheetData>
  <sheetProtection/>
  <mergeCells count="1">
    <mergeCell ref="A1:O1"/>
  </mergeCells>
  <printOptions/>
  <pageMargins left="0.16" right="0.17" top="0.17" bottom="0.17" header="0.16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7">
      <selection activeCell="M4" sqref="M4"/>
    </sheetView>
  </sheetViews>
  <sheetFormatPr defaultColWidth="9.140625" defaultRowHeight="15"/>
  <cols>
    <col min="1" max="1" width="44.1406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7.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11">
        <v>8635.8</v>
      </c>
      <c r="C3" s="11">
        <v>9054.2</v>
      </c>
      <c r="D3" s="11">
        <v>9320.5</v>
      </c>
      <c r="E3" s="49">
        <f aca="true" t="shared" si="0" ref="E3:O3">E4+E7</f>
        <v>8185</v>
      </c>
      <c r="F3" s="49">
        <f t="shared" si="0"/>
        <v>7672</v>
      </c>
      <c r="G3" s="49">
        <f t="shared" si="0"/>
        <v>7677</v>
      </c>
      <c r="H3" s="49">
        <f t="shared" si="0"/>
        <v>7830.54</v>
      </c>
      <c r="I3" s="49">
        <f t="shared" si="0"/>
        <v>7987.1508</v>
      </c>
      <c r="J3" s="49">
        <f t="shared" si="0"/>
        <v>8146.893816000001</v>
      </c>
      <c r="K3" s="49">
        <f t="shared" si="0"/>
        <v>8309.831692320002</v>
      </c>
      <c r="L3" s="49">
        <f t="shared" si="0"/>
        <v>8476.0283261664</v>
      </c>
      <c r="M3" s="49">
        <f t="shared" si="0"/>
        <v>8645.54889268973</v>
      </c>
      <c r="N3" s="49">
        <f t="shared" si="0"/>
        <v>8818.459870543524</v>
      </c>
      <c r="O3" s="49">
        <f t="shared" si="0"/>
        <v>8994.829067954395</v>
      </c>
    </row>
    <row r="4" spans="1:15" ht="18.75">
      <c r="A4" s="3" t="s">
        <v>5</v>
      </c>
      <c r="B4" s="11">
        <v>2750</v>
      </c>
      <c r="C4" s="11">
        <v>2890</v>
      </c>
      <c r="D4" s="11">
        <v>2972.7</v>
      </c>
      <c r="E4" s="49">
        <f aca="true" t="shared" si="1" ref="E4:O4">E5+E6</f>
        <v>823</v>
      </c>
      <c r="F4" s="49">
        <f t="shared" si="1"/>
        <v>828</v>
      </c>
      <c r="G4" s="49">
        <f t="shared" si="1"/>
        <v>833</v>
      </c>
      <c r="H4" s="49">
        <f t="shared" si="1"/>
        <v>849.6600000000001</v>
      </c>
      <c r="I4" s="49">
        <f t="shared" si="1"/>
        <v>866.6532000000001</v>
      </c>
      <c r="J4" s="49">
        <f t="shared" si="1"/>
        <v>883.986264</v>
      </c>
      <c r="K4" s="49">
        <f t="shared" si="1"/>
        <v>901.66598928</v>
      </c>
      <c r="L4" s="49">
        <f t="shared" si="1"/>
        <v>919.6993090656</v>
      </c>
      <c r="M4" s="49">
        <f t="shared" si="1"/>
        <v>938.093295246912</v>
      </c>
      <c r="N4" s="49">
        <f t="shared" si="1"/>
        <v>956.8551611518503</v>
      </c>
      <c r="O4" s="49">
        <f t="shared" si="1"/>
        <v>975.9922643748873</v>
      </c>
    </row>
    <row r="5" spans="1:15" ht="18.75">
      <c r="A5" s="5" t="s">
        <v>6</v>
      </c>
      <c r="B5" s="11">
        <v>2480</v>
      </c>
      <c r="C5" s="11">
        <v>2610</v>
      </c>
      <c r="D5" s="11">
        <v>2685.3</v>
      </c>
      <c r="E5" s="49">
        <f>E15</f>
        <v>751</v>
      </c>
      <c r="F5" s="49">
        <f>F15</f>
        <v>756</v>
      </c>
      <c r="G5" s="49">
        <f>G15</f>
        <v>761</v>
      </c>
      <c r="H5" s="49">
        <f aca="true" t="shared" si="2" ref="H5:O5">H15</f>
        <v>776.22</v>
      </c>
      <c r="I5" s="49">
        <f t="shared" si="2"/>
        <v>791.7444</v>
      </c>
      <c r="J5" s="49">
        <f t="shared" si="2"/>
        <v>807.579288</v>
      </c>
      <c r="K5" s="49">
        <f t="shared" si="2"/>
        <v>823.73087376</v>
      </c>
      <c r="L5" s="49">
        <f t="shared" si="2"/>
        <v>840.2054912352</v>
      </c>
      <c r="M5" s="49">
        <f t="shared" si="2"/>
        <v>857.0096010599041</v>
      </c>
      <c r="N5" s="49">
        <f t="shared" si="2"/>
        <v>874.1497930811022</v>
      </c>
      <c r="O5" s="49">
        <f t="shared" si="2"/>
        <v>891.6327889427242</v>
      </c>
    </row>
    <row r="6" spans="1:15" ht="18.75">
      <c r="A6" s="5" t="s">
        <v>7</v>
      </c>
      <c r="B6" s="11">
        <v>270</v>
      </c>
      <c r="C6" s="11">
        <v>280</v>
      </c>
      <c r="D6" s="11">
        <v>287.4</v>
      </c>
      <c r="E6" s="49">
        <f>E26</f>
        <v>72</v>
      </c>
      <c r="F6" s="49">
        <f>F26</f>
        <v>72</v>
      </c>
      <c r="G6" s="49">
        <f>G26</f>
        <v>72</v>
      </c>
      <c r="H6" s="49">
        <f aca="true" t="shared" si="3" ref="H6:O6">H26</f>
        <v>73.44</v>
      </c>
      <c r="I6" s="49">
        <f t="shared" si="3"/>
        <v>74.9088</v>
      </c>
      <c r="J6" s="49">
        <f t="shared" si="3"/>
        <v>76.406976</v>
      </c>
      <c r="K6" s="49">
        <f t="shared" si="3"/>
        <v>77.93511552</v>
      </c>
      <c r="L6" s="49">
        <f t="shared" si="3"/>
        <v>79.4938178304</v>
      </c>
      <c r="M6" s="49">
        <f t="shared" si="3"/>
        <v>81.083694187008</v>
      </c>
      <c r="N6" s="49">
        <f t="shared" si="3"/>
        <v>82.70536807074816</v>
      </c>
      <c r="O6" s="49">
        <f t="shared" si="3"/>
        <v>84.35947543216312</v>
      </c>
    </row>
    <row r="7" spans="1:15" ht="75">
      <c r="A7" s="3" t="s">
        <v>8</v>
      </c>
      <c r="B7" s="11">
        <v>5885.8</v>
      </c>
      <c r="C7" s="11">
        <v>6164.2</v>
      </c>
      <c r="D7" s="11">
        <v>6347.8</v>
      </c>
      <c r="E7" s="49">
        <f>E34</f>
        <v>7362</v>
      </c>
      <c r="F7" s="49">
        <f>F34</f>
        <v>6844</v>
      </c>
      <c r="G7" s="49">
        <f>G34</f>
        <v>6844</v>
      </c>
      <c r="H7" s="49">
        <f aca="true" t="shared" si="4" ref="H7:O7">H34</f>
        <v>6980.88</v>
      </c>
      <c r="I7" s="49">
        <f t="shared" si="4"/>
        <v>7120.497600000001</v>
      </c>
      <c r="J7" s="49">
        <f t="shared" si="4"/>
        <v>7262.907552000001</v>
      </c>
      <c r="K7" s="49">
        <f t="shared" si="4"/>
        <v>7408.165703040001</v>
      </c>
      <c r="L7" s="49">
        <f t="shared" si="4"/>
        <v>7556.329017100801</v>
      </c>
      <c r="M7" s="49">
        <f t="shared" si="4"/>
        <v>7707.455597442818</v>
      </c>
      <c r="N7" s="49">
        <f t="shared" si="4"/>
        <v>7861.604709391674</v>
      </c>
      <c r="O7" s="49">
        <f t="shared" si="4"/>
        <v>8018.836803579507</v>
      </c>
    </row>
    <row r="8" spans="1:15" ht="93.75">
      <c r="A8" s="2" t="s">
        <v>9</v>
      </c>
      <c r="B8" s="11">
        <v>8635.8</v>
      </c>
      <c r="C8" s="11">
        <v>9054.2</v>
      </c>
      <c r="D8" s="11">
        <v>9320.5</v>
      </c>
      <c r="E8" s="49">
        <f>E41</f>
        <v>8185</v>
      </c>
      <c r="F8" s="49">
        <f aca="true" t="shared" si="5" ref="F8:O8">F41</f>
        <v>7672</v>
      </c>
      <c r="G8" s="49">
        <f t="shared" si="5"/>
        <v>7677</v>
      </c>
      <c r="H8" s="49">
        <f t="shared" si="5"/>
        <v>7830.5</v>
      </c>
      <c r="I8" s="49">
        <f t="shared" si="5"/>
        <v>7987.200000000001</v>
      </c>
      <c r="J8" s="49">
        <f t="shared" si="5"/>
        <v>8146.9</v>
      </c>
      <c r="K8" s="49">
        <f t="shared" si="5"/>
        <v>8309.8</v>
      </c>
      <c r="L8" s="49">
        <f t="shared" si="5"/>
        <v>8476</v>
      </c>
      <c r="M8" s="49">
        <f t="shared" si="5"/>
        <v>8645.5</v>
      </c>
      <c r="N8" s="49">
        <f t="shared" si="5"/>
        <v>8818.5</v>
      </c>
      <c r="O8" s="49">
        <f t="shared" si="5"/>
        <v>8994.8</v>
      </c>
    </row>
    <row r="9" spans="1:15" s="55" customFormat="1" ht="18.75">
      <c r="A9" s="53" t="s">
        <v>10</v>
      </c>
      <c r="B9" s="57">
        <v>0</v>
      </c>
      <c r="C9" s="57">
        <v>0</v>
      </c>
      <c r="D9" s="57">
        <v>0</v>
      </c>
      <c r="E9" s="58">
        <f>E3-E8</f>
        <v>0</v>
      </c>
      <c r="F9" s="58">
        <f aca="true" t="shared" si="6" ref="F9:O9">F3-F8</f>
        <v>0</v>
      </c>
      <c r="G9" s="58">
        <f t="shared" si="6"/>
        <v>0</v>
      </c>
      <c r="H9" s="58">
        <f t="shared" si="6"/>
        <v>0.03999999999996362</v>
      </c>
      <c r="I9" s="58">
        <f t="shared" si="6"/>
        <v>-0.049200000000382715</v>
      </c>
      <c r="J9" s="58">
        <f t="shared" si="6"/>
        <v>-0.006183999998938816</v>
      </c>
      <c r="K9" s="58">
        <f t="shared" si="6"/>
        <v>0.03169232000254851</v>
      </c>
      <c r="L9" s="58">
        <f t="shared" si="6"/>
        <v>0.02832616640080232</v>
      </c>
      <c r="M9" s="58">
        <f t="shared" si="6"/>
        <v>0.0488926897305646</v>
      </c>
      <c r="N9" s="58">
        <f t="shared" si="6"/>
        <v>-0.0401294564762793</v>
      </c>
      <c r="O9" s="58">
        <f t="shared" si="6"/>
        <v>0.029067954395941342</v>
      </c>
    </row>
    <row r="10" spans="1:15" ht="18.75">
      <c r="A10" s="2" t="s">
        <v>11</v>
      </c>
      <c r="B10" s="11">
        <v>0</v>
      </c>
      <c r="C10" s="11">
        <v>0</v>
      </c>
      <c r="D10" s="11">
        <v>0</v>
      </c>
      <c r="E10" s="49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</row>
    <row r="11" spans="5:7" ht="15">
      <c r="E11" s="51"/>
      <c r="F11" s="51"/>
      <c r="G11" s="51"/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52" t="s">
        <v>13</v>
      </c>
      <c r="F12" s="52" t="s">
        <v>14</v>
      </c>
      <c r="G12" s="52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11">
        <v>8635.8</v>
      </c>
      <c r="C13" s="11">
        <v>9054.2</v>
      </c>
      <c r="D13" s="11">
        <v>9320.5</v>
      </c>
      <c r="E13" s="49">
        <f>E14+E34</f>
        <v>8185</v>
      </c>
      <c r="F13" s="49">
        <f>F14+F34</f>
        <v>7672</v>
      </c>
      <c r="G13" s="49">
        <f>G14+G34</f>
        <v>7677</v>
      </c>
      <c r="H13" s="49">
        <f>G13*1.02</f>
        <v>7830.54</v>
      </c>
      <c r="I13" s="49">
        <f aca="true" t="shared" si="7" ref="I13:O13">H13*1.02</f>
        <v>7987.1508</v>
      </c>
      <c r="J13" s="49">
        <f t="shared" si="7"/>
        <v>8146.893816000001</v>
      </c>
      <c r="K13" s="49">
        <f t="shared" si="7"/>
        <v>8309.83169232</v>
      </c>
      <c r="L13" s="49">
        <f t="shared" si="7"/>
        <v>8476.0283261664</v>
      </c>
      <c r="M13" s="49">
        <f t="shared" si="7"/>
        <v>8645.548892689729</v>
      </c>
      <c r="N13" s="49">
        <f t="shared" si="7"/>
        <v>8818.459870543524</v>
      </c>
      <c r="O13" s="49">
        <f t="shared" si="7"/>
        <v>8994.829067954395</v>
      </c>
    </row>
    <row r="14" spans="1:15" ht="37.5">
      <c r="A14" s="6" t="s">
        <v>24</v>
      </c>
      <c r="B14" s="11">
        <v>2750</v>
      </c>
      <c r="C14" s="11">
        <v>2890</v>
      </c>
      <c r="D14" s="11">
        <v>2972.7</v>
      </c>
      <c r="E14" s="49">
        <f>E15+E26</f>
        <v>823</v>
      </c>
      <c r="F14" s="49">
        <f>F15+F26</f>
        <v>828</v>
      </c>
      <c r="G14" s="49">
        <f>G15+G26</f>
        <v>833</v>
      </c>
      <c r="H14" s="49">
        <f aca="true" t="shared" si="8" ref="H14:O38">G14*1.02</f>
        <v>849.66</v>
      </c>
      <c r="I14" s="49">
        <f t="shared" si="8"/>
        <v>866.6532</v>
      </c>
      <c r="J14" s="49">
        <f t="shared" si="8"/>
        <v>883.986264</v>
      </c>
      <c r="K14" s="49">
        <f t="shared" si="8"/>
        <v>901.6659892800001</v>
      </c>
      <c r="L14" s="49">
        <f t="shared" si="8"/>
        <v>919.6993090656001</v>
      </c>
      <c r="M14" s="49">
        <f t="shared" si="8"/>
        <v>938.0932952469121</v>
      </c>
      <c r="N14" s="49">
        <f t="shared" si="8"/>
        <v>956.8551611518504</v>
      </c>
      <c r="O14" s="49">
        <f t="shared" si="8"/>
        <v>975.9922643748874</v>
      </c>
    </row>
    <row r="15" spans="1:15" ht="19.5">
      <c r="A15" s="7" t="s">
        <v>25</v>
      </c>
      <c r="B15" s="11">
        <v>2480</v>
      </c>
      <c r="C15" s="11">
        <v>2610</v>
      </c>
      <c r="D15" s="11">
        <v>2685.3</v>
      </c>
      <c r="E15" s="49">
        <f>E16+E17+E18+E19+E20+E21+E22+E23+E24</f>
        <v>751</v>
      </c>
      <c r="F15" s="49">
        <f>F16+F17+F18+F19+F20+F21+F22+F23+F24</f>
        <v>756</v>
      </c>
      <c r="G15" s="49">
        <f>G16+G17+G18+G19+G20+G21+G22+G23+G24</f>
        <v>761</v>
      </c>
      <c r="H15" s="49">
        <f t="shared" si="8"/>
        <v>776.22</v>
      </c>
      <c r="I15" s="49">
        <f t="shared" si="8"/>
        <v>791.7444</v>
      </c>
      <c r="J15" s="49">
        <f t="shared" si="8"/>
        <v>807.579288</v>
      </c>
      <c r="K15" s="49">
        <f t="shared" si="8"/>
        <v>823.73087376</v>
      </c>
      <c r="L15" s="49">
        <f t="shared" si="8"/>
        <v>840.2054912352</v>
      </c>
      <c r="M15" s="49">
        <f t="shared" si="8"/>
        <v>857.0096010599041</v>
      </c>
      <c r="N15" s="49">
        <f t="shared" si="8"/>
        <v>874.1497930811022</v>
      </c>
      <c r="O15" s="49">
        <f t="shared" si="8"/>
        <v>891.6327889427242</v>
      </c>
    </row>
    <row r="16" spans="1:15" ht="18.75">
      <c r="A16" s="8" t="s">
        <v>26</v>
      </c>
      <c r="B16" s="11">
        <v>750</v>
      </c>
      <c r="C16" s="11">
        <v>800</v>
      </c>
      <c r="D16" s="11">
        <v>820</v>
      </c>
      <c r="E16" s="49">
        <v>150</v>
      </c>
      <c r="F16" s="49">
        <v>150</v>
      </c>
      <c r="G16" s="49">
        <v>150</v>
      </c>
      <c r="H16" s="49">
        <f t="shared" si="8"/>
        <v>153</v>
      </c>
      <c r="I16" s="49">
        <f t="shared" si="8"/>
        <v>156.06</v>
      </c>
      <c r="J16" s="49">
        <f t="shared" si="8"/>
        <v>159.18120000000002</v>
      </c>
      <c r="K16" s="49">
        <f t="shared" si="8"/>
        <v>162.36482400000003</v>
      </c>
      <c r="L16" s="49">
        <f t="shared" si="8"/>
        <v>165.61212048000004</v>
      </c>
      <c r="M16" s="49">
        <f t="shared" si="8"/>
        <v>168.92436288960005</v>
      </c>
      <c r="N16" s="49">
        <f t="shared" si="8"/>
        <v>172.30285014739206</v>
      </c>
      <c r="O16" s="49">
        <f t="shared" si="8"/>
        <v>175.7489071503399</v>
      </c>
    </row>
    <row r="17" spans="1:15" ht="56.25">
      <c r="A17" s="8" t="s">
        <v>27</v>
      </c>
      <c r="B17" s="11">
        <v>1300</v>
      </c>
      <c r="C17" s="11">
        <v>1300</v>
      </c>
      <c r="D17" s="11">
        <v>1340</v>
      </c>
      <c r="E17" s="49">
        <v>0</v>
      </c>
      <c r="F17" s="49">
        <v>0</v>
      </c>
      <c r="G17" s="49">
        <v>0</v>
      </c>
      <c r="H17" s="49">
        <f t="shared" si="8"/>
        <v>0</v>
      </c>
      <c r="I17" s="49">
        <f t="shared" si="8"/>
        <v>0</v>
      </c>
      <c r="J17" s="49">
        <f t="shared" si="8"/>
        <v>0</v>
      </c>
      <c r="K17" s="49">
        <f t="shared" si="8"/>
        <v>0</v>
      </c>
      <c r="L17" s="49">
        <f t="shared" si="8"/>
        <v>0</v>
      </c>
      <c r="M17" s="49">
        <f t="shared" si="8"/>
        <v>0</v>
      </c>
      <c r="N17" s="49">
        <f t="shared" si="8"/>
        <v>0</v>
      </c>
      <c r="O17" s="49">
        <f t="shared" si="8"/>
        <v>0</v>
      </c>
    </row>
    <row r="18" spans="1:15" ht="37.5">
      <c r="A18" s="8" t="s">
        <v>28</v>
      </c>
      <c r="B18" s="12"/>
      <c r="C18" s="12"/>
      <c r="D18" s="3"/>
      <c r="E18" s="9">
        <v>0</v>
      </c>
      <c r="F18" s="49">
        <v>0</v>
      </c>
      <c r="G18" s="49">
        <v>0</v>
      </c>
      <c r="H18" s="49">
        <f t="shared" si="8"/>
        <v>0</v>
      </c>
      <c r="I18" s="49">
        <f t="shared" si="8"/>
        <v>0</v>
      </c>
      <c r="J18" s="49">
        <f t="shared" si="8"/>
        <v>0</v>
      </c>
      <c r="K18" s="49">
        <f t="shared" si="8"/>
        <v>0</v>
      </c>
      <c r="L18" s="49">
        <f t="shared" si="8"/>
        <v>0</v>
      </c>
      <c r="M18" s="49">
        <f t="shared" si="8"/>
        <v>0</v>
      </c>
      <c r="N18" s="49">
        <f t="shared" si="8"/>
        <v>0</v>
      </c>
      <c r="O18" s="49">
        <f t="shared" si="8"/>
        <v>0</v>
      </c>
    </row>
    <row r="19" spans="1:15" ht="37.5">
      <c r="A19" s="8" t="s">
        <v>29</v>
      </c>
      <c r="B19" s="11">
        <v>35</v>
      </c>
      <c r="C19" s="11">
        <v>40</v>
      </c>
      <c r="D19" s="3">
        <v>41.2</v>
      </c>
      <c r="E19" s="9">
        <v>20</v>
      </c>
      <c r="F19" s="49">
        <v>25</v>
      </c>
      <c r="G19" s="49">
        <v>30</v>
      </c>
      <c r="H19" s="49">
        <f t="shared" si="8"/>
        <v>30.6</v>
      </c>
      <c r="I19" s="49">
        <f t="shared" si="8"/>
        <v>31.212000000000003</v>
      </c>
      <c r="J19" s="49">
        <f t="shared" si="8"/>
        <v>31.836240000000004</v>
      </c>
      <c r="K19" s="49">
        <f t="shared" si="8"/>
        <v>32.47296480000001</v>
      </c>
      <c r="L19" s="49">
        <f t="shared" si="8"/>
        <v>33.12242409600001</v>
      </c>
      <c r="M19" s="49">
        <f t="shared" si="8"/>
        <v>33.78487257792001</v>
      </c>
      <c r="N19" s="49">
        <f t="shared" si="8"/>
        <v>34.46057002947841</v>
      </c>
      <c r="O19" s="49">
        <f t="shared" si="8"/>
        <v>35.14978143006798</v>
      </c>
    </row>
    <row r="20" spans="1:15" ht="56.25">
      <c r="A20" s="8" t="s">
        <v>30</v>
      </c>
      <c r="B20" s="12"/>
      <c r="C20" s="12"/>
      <c r="D20" s="3"/>
      <c r="E20" s="9">
        <v>0</v>
      </c>
      <c r="F20" s="49">
        <v>0</v>
      </c>
      <c r="G20" s="49">
        <v>0</v>
      </c>
      <c r="H20" s="49">
        <f t="shared" si="8"/>
        <v>0</v>
      </c>
      <c r="I20" s="49">
        <f t="shared" si="8"/>
        <v>0</v>
      </c>
      <c r="J20" s="49">
        <f t="shared" si="8"/>
        <v>0</v>
      </c>
      <c r="K20" s="49">
        <f t="shared" si="8"/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</row>
    <row r="21" spans="1:15" ht="37.5">
      <c r="A21" s="8" t="s">
        <v>31</v>
      </c>
      <c r="B21" s="11">
        <v>30</v>
      </c>
      <c r="C21" s="3">
        <v>50</v>
      </c>
      <c r="D21" s="3">
        <v>51.5</v>
      </c>
      <c r="E21" s="9">
        <v>80</v>
      </c>
      <c r="F21" s="49">
        <v>80</v>
      </c>
      <c r="G21" s="49">
        <v>80</v>
      </c>
      <c r="H21" s="49">
        <f t="shared" si="8"/>
        <v>81.6</v>
      </c>
      <c r="I21" s="49">
        <f t="shared" si="8"/>
        <v>83.232</v>
      </c>
      <c r="J21" s="49">
        <f t="shared" si="8"/>
        <v>84.89664</v>
      </c>
      <c r="K21" s="49">
        <f t="shared" si="8"/>
        <v>86.59457280000001</v>
      </c>
      <c r="L21" s="49">
        <f t="shared" si="8"/>
        <v>88.32646425600001</v>
      </c>
      <c r="M21" s="49">
        <f t="shared" si="8"/>
        <v>90.09299354112001</v>
      </c>
      <c r="N21" s="49">
        <f t="shared" si="8"/>
        <v>91.8948534119424</v>
      </c>
      <c r="O21" s="49">
        <f t="shared" si="8"/>
        <v>93.73275048018125</v>
      </c>
    </row>
    <row r="22" spans="1:15" ht="18.75">
      <c r="A22" s="8" t="s">
        <v>32</v>
      </c>
      <c r="B22" s="11">
        <v>350</v>
      </c>
      <c r="C22" s="3">
        <v>400</v>
      </c>
      <c r="D22" s="3">
        <v>412</v>
      </c>
      <c r="E22" s="9">
        <v>500</v>
      </c>
      <c r="F22" s="49">
        <v>500</v>
      </c>
      <c r="G22" s="49">
        <v>500</v>
      </c>
      <c r="H22" s="49">
        <f t="shared" si="8"/>
        <v>510</v>
      </c>
      <c r="I22" s="49">
        <f t="shared" si="8"/>
        <v>520.2</v>
      </c>
      <c r="J22" s="49">
        <f t="shared" si="8"/>
        <v>530.604</v>
      </c>
      <c r="K22" s="49">
        <f t="shared" si="8"/>
        <v>541.21608</v>
      </c>
      <c r="L22" s="49">
        <f t="shared" si="8"/>
        <v>552.0404016</v>
      </c>
      <c r="M22" s="49">
        <f t="shared" si="8"/>
        <v>563.081209632</v>
      </c>
      <c r="N22" s="49">
        <f t="shared" si="8"/>
        <v>574.34283382464</v>
      </c>
      <c r="O22" s="49">
        <f t="shared" si="8"/>
        <v>585.8296905011329</v>
      </c>
    </row>
    <row r="23" spans="1:15" ht="56.25">
      <c r="A23" s="8" t="s">
        <v>33</v>
      </c>
      <c r="B23" s="12"/>
      <c r="C23" s="3"/>
      <c r="D23" s="3"/>
      <c r="E23" s="9">
        <v>0</v>
      </c>
      <c r="F23" s="46">
        <v>0</v>
      </c>
      <c r="G23" s="46">
        <v>0</v>
      </c>
      <c r="H23" s="49">
        <f t="shared" si="8"/>
        <v>0</v>
      </c>
      <c r="I23" s="49">
        <f t="shared" si="8"/>
        <v>0</v>
      </c>
      <c r="J23" s="49">
        <f t="shared" si="8"/>
        <v>0</v>
      </c>
      <c r="K23" s="49">
        <f t="shared" si="8"/>
        <v>0</v>
      </c>
      <c r="L23" s="49">
        <f t="shared" si="8"/>
        <v>0</v>
      </c>
      <c r="M23" s="49">
        <f t="shared" si="8"/>
        <v>0</v>
      </c>
      <c r="N23" s="49">
        <f t="shared" si="8"/>
        <v>0</v>
      </c>
      <c r="O23" s="49">
        <f t="shared" si="8"/>
        <v>0</v>
      </c>
    </row>
    <row r="24" spans="1:15" ht="18.75">
      <c r="A24" s="8" t="s">
        <v>34</v>
      </c>
      <c r="B24" s="3">
        <v>15</v>
      </c>
      <c r="C24" s="3">
        <v>20</v>
      </c>
      <c r="D24" s="3">
        <v>20.6</v>
      </c>
      <c r="E24" s="9">
        <v>1</v>
      </c>
      <c r="F24" s="9">
        <v>1</v>
      </c>
      <c r="G24" s="9">
        <v>1</v>
      </c>
      <c r="H24" s="49">
        <f t="shared" si="8"/>
        <v>1.02</v>
      </c>
      <c r="I24" s="49">
        <f t="shared" si="8"/>
        <v>1.0404</v>
      </c>
      <c r="J24" s="49">
        <f t="shared" si="8"/>
        <v>1.061208</v>
      </c>
      <c r="K24" s="49">
        <f t="shared" si="8"/>
        <v>1.08243216</v>
      </c>
      <c r="L24" s="49">
        <f t="shared" si="8"/>
        <v>1.1040808032</v>
      </c>
      <c r="M24" s="49">
        <f t="shared" si="8"/>
        <v>1.126162419264</v>
      </c>
      <c r="N24" s="49">
        <f t="shared" si="8"/>
        <v>1.14868566764928</v>
      </c>
      <c r="O24" s="49">
        <f t="shared" si="8"/>
        <v>1.1716593810022657</v>
      </c>
    </row>
    <row r="25" spans="1:15" ht="56.25">
      <c r="A25" s="8" t="s">
        <v>35</v>
      </c>
      <c r="B25" s="3"/>
      <c r="C25" s="3"/>
      <c r="D25" s="3"/>
      <c r="E25" s="9">
        <v>0</v>
      </c>
      <c r="F25" s="9">
        <v>0</v>
      </c>
      <c r="G25" s="9">
        <v>0</v>
      </c>
      <c r="H25" s="49">
        <f t="shared" si="8"/>
        <v>0</v>
      </c>
      <c r="I25" s="49">
        <f t="shared" si="8"/>
        <v>0</v>
      </c>
      <c r="J25" s="49">
        <f t="shared" si="8"/>
        <v>0</v>
      </c>
      <c r="K25" s="49">
        <f t="shared" si="8"/>
        <v>0</v>
      </c>
      <c r="L25" s="49">
        <f t="shared" si="8"/>
        <v>0</v>
      </c>
      <c r="M25" s="49">
        <f t="shared" si="8"/>
        <v>0</v>
      </c>
      <c r="N25" s="49">
        <f t="shared" si="8"/>
        <v>0</v>
      </c>
      <c r="O25" s="49">
        <f t="shared" si="8"/>
        <v>0</v>
      </c>
    </row>
    <row r="26" spans="1:15" ht="19.5">
      <c r="A26" s="7" t="s">
        <v>36</v>
      </c>
      <c r="B26" s="3">
        <v>270</v>
      </c>
      <c r="C26" s="3">
        <v>280</v>
      </c>
      <c r="D26" s="3">
        <v>287.4</v>
      </c>
      <c r="E26" s="9">
        <f>E27+E28+E29+E30+E31+E32+E33</f>
        <v>72</v>
      </c>
      <c r="F26" s="9">
        <f>F27+F28+F29+F30+F31+F32+F33</f>
        <v>72</v>
      </c>
      <c r="G26" s="9">
        <f>G27+G28+G29+G30+G31+G32+G33</f>
        <v>72</v>
      </c>
      <c r="H26" s="49">
        <f t="shared" si="8"/>
        <v>73.44</v>
      </c>
      <c r="I26" s="49">
        <f t="shared" si="8"/>
        <v>74.9088</v>
      </c>
      <c r="J26" s="49">
        <f t="shared" si="8"/>
        <v>76.406976</v>
      </c>
      <c r="K26" s="49">
        <f t="shared" si="8"/>
        <v>77.93511552</v>
      </c>
      <c r="L26" s="49">
        <f t="shared" si="8"/>
        <v>79.4938178304</v>
      </c>
      <c r="M26" s="49">
        <f t="shared" si="8"/>
        <v>81.083694187008</v>
      </c>
      <c r="N26" s="49">
        <f t="shared" si="8"/>
        <v>82.70536807074816</v>
      </c>
      <c r="O26" s="49">
        <f t="shared" si="8"/>
        <v>84.35947543216312</v>
      </c>
    </row>
    <row r="27" spans="1:15" ht="75">
      <c r="A27" s="8" t="s">
        <v>37</v>
      </c>
      <c r="B27" s="3">
        <v>70</v>
      </c>
      <c r="C27" s="3">
        <v>80</v>
      </c>
      <c r="D27" s="3">
        <v>82.4</v>
      </c>
      <c r="E27" s="9">
        <v>60</v>
      </c>
      <c r="F27" s="9">
        <v>60</v>
      </c>
      <c r="G27" s="9">
        <v>60</v>
      </c>
      <c r="H27" s="49">
        <f t="shared" si="8"/>
        <v>61.2</v>
      </c>
      <c r="I27" s="49">
        <f t="shared" si="8"/>
        <v>62.42400000000001</v>
      </c>
      <c r="J27" s="49">
        <f t="shared" si="8"/>
        <v>63.67248000000001</v>
      </c>
      <c r="K27" s="49">
        <f t="shared" si="8"/>
        <v>64.94592960000001</v>
      </c>
      <c r="L27" s="49">
        <f t="shared" si="8"/>
        <v>66.24484819200002</v>
      </c>
      <c r="M27" s="49">
        <f t="shared" si="8"/>
        <v>67.56974515584002</v>
      </c>
      <c r="N27" s="49">
        <f t="shared" si="8"/>
        <v>68.92114005895682</v>
      </c>
      <c r="O27" s="49">
        <f t="shared" si="8"/>
        <v>70.29956286013596</v>
      </c>
    </row>
    <row r="28" spans="1:15" ht="37.5">
      <c r="A28" s="8" t="s">
        <v>38</v>
      </c>
      <c r="B28" s="3"/>
      <c r="C28" s="3"/>
      <c r="D28" s="3"/>
      <c r="E28" s="9">
        <v>0</v>
      </c>
      <c r="F28" s="9">
        <v>0</v>
      </c>
      <c r="G28" s="9">
        <v>0</v>
      </c>
      <c r="H28" s="49">
        <f t="shared" si="8"/>
        <v>0</v>
      </c>
      <c r="I28" s="49">
        <f t="shared" si="8"/>
        <v>0</v>
      </c>
      <c r="J28" s="49">
        <f t="shared" si="8"/>
        <v>0</v>
      </c>
      <c r="K28" s="49">
        <f t="shared" si="8"/>
        <v>0</v>
      </c>
      <c r="L28" s="49">
        <f t="shared" si="8"/>
        <v>0</v>
      </c>
      <c r="M28" s="49">
        <f t="shared" si="8"/>
        <v>0</v>
      </c>
      <c r="N28" s="49">
        <f t="shared" si="8"/>
        <v>0</v>
      </c>
      <c r="O28" s="49">
        <f t="shared" si="8"/>
        <v>0</v>
      </c>
    </row>
    <row r="29" spans="1:15" ht="56.25">
      <c r="A29" s="8" t="s">
        <v>39</v>
      </c>
      <c r="B29" s="3">
        <v>200</v>
      </c>
      <c r="C29" s="3">
        <v>200</v>
      </c>
      <c r="D29" s="3">
        <v>205</v>
      </c>
      <c r="E29" s="9">
        <v>12</v>
      </c>
      <c r="F29" s="9">
        <v>12</v>
      </c>
      <c r="G29" s="9">
        <v>12</v>
      </c>
      <c r="H29" s="49">
        <f t="shared" si="8"/>
        <v>12.24</v>
      </c>
      <c r="I29" s="49">
        <f t="shared" si="8"/>
        <v>12.4848</v>
      </c>
      <c r="J29" s="49">
        <f t="shared" si="8"/>
        <v>12.734496</v>
      </c>
      <c r="K29" s="49">
        <f t="shared" si="8"/>
        <v>12.98918592</v>
      </c>
      <c r="L29" s="49">
        <f t="shared" si="8"/>
        <v>13.2489696384</v>
      </c>
      <c r="M29" s="49">
        <f t="shared" si="8"/>
        <v>13.513949031168</v>
      </c>
      <c r="N29" s="49">
        <f t="shared" si="8"/>
        <v>13.78422801179136</v>
      </c>
      <c r="O29" s="49">
        <f t="shared" si="8"/>
        <v>14.059912572027187</v>
      </c>
    </row>
    <row r="30" spans="1:15" ht="37.5">
      <c r="A30" s="8" t="s">
        <v>40</v>
      </c>
      <c r="B30" s="3"/>
      <c r="C30" s="3"/>
      <c r="D30" s="3"/>
      <c r="E30" s="9">
        <v>0</v>
      </c>
      <c r="F30" s="46">
        <v>0</v>
      </c>
      <c r="G30" s="46">
        <v>0</v>
      </c>
      <c r="H30" s="49">
        <f t="shared" si="8"/>
        <v>0</v>
      </c>
      <c r="I30" s="49">
        <f t="shared" si="8"/>
        <v>0</v>
      </c>
      <c r="J30" s="49">
        <f t="shared" si="8"/>
        <v>0</v>
      </c>
      <c r="K30" s="49">
        <f t="shared" si="8"/>
        <v>0</v>
      </c>
      <c r="L30" s="49">
        <f t="shared" si="8"/>
        <v>0</v>
      </c>
      <c r="M30" s="49">
        <f t="shared" si="8"/>
        <v>0</v>
      </c>
      <c r="N30" s="49">
        <f t="shared" si="8"/>
        <v>0</v>
      </c>
      <c r="O30" s="49">
        <f t="shared" si="8"/>
        <v>0</v>
      </c>
    </row>
    <row r="31" spans="1:15" ht="37.5">
      <c r="A31" s="8" t="s">
        <v>41</v>
      </c>
      <c r="B31" s="3"/>
      <c r="C31" s="3"/>
      <c r="D31" s="3"/>
      <c r="E31" s="9">
        <v>0</v>
      </c>
      <c r="F31" s="46">
        <v>0</v>
      </c>
      <c r="G31" s="46">
        <v>0</v>
      </c>
      <c r="H31" s="49">
        <f t="shared" si="8"/>
        <v>0</v>
      </c>
      <c r="I31" s="49">
        <f t="shared" si="8"/>
        <v>0</v>
      </c>
      <c r="J31" s="49">
        <f t="shared" si="8"/>
        <v>0</v>
      </c>
      <c r="K31" s="49">
        <f t="shared" si="8"/>
        <v>0</v>
      </c>
      <c r="L31" s="49">
        <f t="shared" si="8"/>
        <v>0</v>
      </c>
      <c r="M31" s="49">
        <f t="shared" si="8"/>
        <v>0</v>
      </c>
      <c r="N31" s="49">
        <f t="shared" si="8"/>
        <v>0</v>
      </c>
      <c r="O31" s="49">
        <f t="shared" si="8"/>
        <v>0</v>
      </c>
    </row>
    <row r="32" spans="1:15" ht="37.5">
      <c r="A32" s="8" t="s">
        <v>42</v>
      </c>
      <c r="B32" s="3"/>
      <c r="C32" s="3"/>
      <c r="D32" s="3"/>
      <c r="E32" s="9">
        <v>0</v>
      </c>
      <c r="F32" s="46">
        <v>0</v>
      </c>
      <c r="G32" s="46">
        <v>0</v>
      </c>
      <c r="H32" s="49">
        <f t="shared" si="8"/>
        <v>0</v>
      </c>
      <c r="I32" s="49">
        <f t="shared" si="8"/>
        <v>0</v>
      </c>
      <c r="J32" s="49">
        <f t="shared" si="8"/>
        <v>0</v>
      </c>
      <c r="K32" s="49">
        <f t="shared" si="8"/>
        <v>0</v>
      </c>
      <c r="L32" s="49">
        <f t="shared" si="8"/>
        <v>0</v>
      </c>
      <c r="M32" s="49">
        <f t="shared" si="8"/>
        <v>0</v>
      </c>
      <c r="N32" s="49">
        <f t="shared" si="8"/>
        <v>0</v>
      </c>
      <c r="O32" s="49">
        <f t="shared" si="8"/>
        <v>0</v>
      </c>
    </row>
    <row r="33" spans="1:15" ht="18.75">
      <c r="A33" s="8" t="s">
        <v>43</v>
      </c>
      <c r="B33" s="3"/>
      <c r="C33" s="3"/>
      <c r="D33" s="3"/>
      <c r="E33" s="9">
        <v>0</v>
      </c>
      <c r="F33" s="46">
        <v>0</v>
      </c>
      <c r="G33" s="46">
        <v>0</v>
      </c>
      <c r="H33" s="49">
        <f t="shared" si="8"/>
        <v>0</v>
      </c>
      <c r="I33" s="49">
        <f t="shared" si="8"/>
        <v>0</v>
      </c>
      <c r="J33" s="49">
        <f t="shared" si="8"/>
        <v>0</v>
      </c>
      <c r="K33" s="49">
        <f t="shared" si="8"/>
        <v>0</v>
      </c>
      <c r="L33" s="49">
        <f t="shared" si="8"/>
        <v>0</v>
      </c>
      <c r="M33" s="49">
        <f t="shared" si="8"/>
        <v>0</v>
      </c>
      <c r="N33" s="49">
        <f t="shared" si="8"/>
        <v>0</v>
      </c>
      <c r="O33" s="49">
        <f t="shared" si="8"/>
        <v>0</v>
      </c>
    </row>
    <row r="34" spans="1:15" ht="75">
      <c r="A34" s="6" t="s">
        <v>44</v>
      </c>
      <c r="B34" s="3">
        <v>5885.8</v>
      </c>
      <c r="C34" s="3">
        <v>6164.2</v>
      </c>
      <c r="D34" s="11">
        <v>6347.8</v>
      </c>
      <c r="E34" s="49">
        <f>E35</f>
        <v>7362</v>
      </c>
      <c r="F34" s="49">
        <f>F35</f>
        <v>6844</v>
      </c>
      <c r="G34" s="49">
        <f>G35</f>
        <v>6844</v>
      </c>
      <c r="H34" s="49">
        <f t="shared" si="8"/>
        <v>6980.88</v>
      </c>
      <c r="I34" s="49">
        <f t="shared" si="8"/>
        <v>7120.497600000001</v>
      </c>
      <c r="J34" s="49">
        <f t="shared" si="8"/>
        <v>7262.907552000001</v>
      </c>
      <c r="K34" s="49">
        <f t="shared" si="8"/>
        <v>7408.165703040001</v>
      </c>
      <c r="L34" s="49">
        <f t="shared" si="8"/>
        <v>7556.329017100801</v>
      </c>
      <c r="M34" s="49">
        <f t="shared" si="8"/>
        <v>7707.455597442818</v>
      </c>
      <c r="N34" s="49">
        <f t="shared" si="8"/>
        <v>7861.604709391674</v>
      </c>
      <c r="O34" s="49">
        <f t="shared" si="8"/>
        <v>8018.836803579507</v>
      </c>
    </row>
    <row r="35" spans="1:15" ht="18.75">
      <c r="A35" s="8" t="s">
        <v>45</v>
      </c>
      <c r="B35" s="3">
        <v>5708</v>
      </c>
      <c r="C35" s="3">
        <v>5982</v>
      </c>
      <c r="D35" s="3">
        <v>6161</v>
      </c>
      <c r="E35" s="9">
        <v>7362</v>
      </c>
      <c r="F35" s="49">
        <v>6844</v>
      </c>
      <c r="G35" s="49">
        <v>6844</v>
      </c>
      <c r="H35" s="49">
        <f t="shared" si="8"/>
        <v>6980.88</v>
      </c>
      <c r="I35" s="49">
        <f t="shared" si="8"/>
        <v>7120.497600000001</v>
      </c>
      <c r="J35" s="49">
        <f t="shared" si="8"/>
        <v>7262.907552000001</v>
      </c>
      <c r="K35" s="49">
        <f t="shared" si="8"/>
        <v>7408.165703040001</v>
      </c>
      <c r="L35" s="49">
        <f t="shared" si="8"/>
        <v>7556.329017100801</v>
      </c>
      <c r="M35" s="49">
        <f t="shared" si="8"/>
        <v>7707.455597442818</v>
      </c>
      <c r="N35" s="49">
        <f t="shared" si="8"/>
        <v>7861.604709391674</v>
      </c>
      <c r="O35" s="49">
        <f t="shared" si="8"/>
        <v>8018.836803579507</v>
      </c>
    </row>
    <row r="36" spans="1:15" ht="56.25">
      <c r="A36" s="8" t="s">
        <v>46</v>
      </c>
      <c r="B36" s="3"/>
      <c r="C36" s="3"/>
      <c r="D36" s="3"/>
      <c r="E36" s="9">
        <v>0</v>
      </c>
      <c r="F36" s="49">
        <v>0</v>
      </c>
      <c r="G36" s="49">
        <v>0</v>
      </c>
      <c r="H36" s="49">
        <f t="shared" si="8"/>
        <v>0</v>
      </c>
      <c r="I36" s="49">
        <f t="shared" si="8"/>
        <v>0</v>
      </c>
      <c r="J36" s="49">
        <f t="shared" si="8"/>
        <v>0</v>
      </c>
      <c r="K36" s="49">
        <f t="shared" si="8"/>
        <v>0</v>
      </c>
      <c r="L36" s="49">
        <f t="shared" si="8"/>
        <v>0</v>
      </c>
      <c r="M36" s="49">
        <f t="shared" si="8"/>
        <v>0</v>
      </c>
      <c r="N36" s="49">
        <f t="shared" si="8"/>
        <v>0</v>
      </c>
      <c r="O36" s="49">
        <f t="shared" si="8"/>
        <v>0</v>
      </c>
    </row>
    <row r="37" spans="1:15" ht="37.5">
      <c r="A37" s="8" t="s">
        <v>47</v>
      </c>
      <c r="B37" s="3"/>
      <c r="C37" s="3"/>
      <c r="D37" s="3"/>
      <c r="E37" s="9">
        <v>0</v>
      </c>
      <c r="F37" s="49">
        <v>0</v>
      </c>
      <c r="G37" s="49">
        <v>0</v>
      </c>
      <c r="H37" s="49">
        <f t="shared" si="8"/>
        <v>0</v>
      </c>
      <c r="I37" s="49">
        <f t="shared" si="8"/>
        <v>0</v>
      </c>
      <c r="J37" s="49">
        <f t="shared" si="8"/>
        <v>0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0</v>
      </c>
      <c r="O37" s="49">
        <f t="shared" si="8"/>
        <v>0</v>
      </c>
    </row>
    <row r="38" spans="1:15" ht="37.5">
      <c r="A38" s="8" t="s">
        <v>48</v>
      </c>
      <c r="B38" s="3">
        <v>177.8</v>
      </c>
      <c r="C38" s="3">
        <v>182.2</v>
      </c>
      <c r="D38" s="3">
        <v>186.8</v>
      </c>
      <c r="E38" s="9">
        <v>0</v>
      </c>
      <c r="F38" s="49">
        <v>0</v>
      </c>
      <c r="G38" s="49">
        <v>0</v>
      </c>
      <c r="H38" s="49">
        <f t="shared" si="8"/>
        <v>0</v>
      </c>
      <c r="I38" s="49">
        <f t="shared" si="8"/>
        <v>0</v>
      </c>
      <c r="J38" s="49">
        <f t="shared" si="8"/>
        <v>0</v>
      </c>
      <c r="K38" s="49">
        <f t="shared" si="8"/>
        <v>0</v>
      </c>
      <c r="L38" s="49">
        <f t="shared" si="8"/>
        <v>0</v>
      </c>
      <c r="M38" s="49">
        <f t="shared" si="8"/>
        <v>0</v>
      </c>
      <c r="N38" s="49">
        <f t="shared" si="8"/>
        <v>0</v>
      </c>
      <c r="O38" s="49">
        <f t="shared" si="8"/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3">
        <v>8635.8</v>
      </c>
      <c r="C41" s="3">
        <v>9054.2</v>
      </c>
      <c r="D41" s="11">
        <v>9320.5</v>
      </c>
      <c r="E41" s="3">
        <f>SUM(E43:E53)</f>
        <v>8185</v>
      </c>
      <c r="F41" s="3">
        <f aca="true" t="shared" si="9" ref="F41:O41">SUM(F43:F53)</f>
        <v>7672</v>
      </c>
      <c r="G41" s="3">
        <f t="shared" si="9"/>
        <v>7677</v>
      </c>
      <c r="H41" s="3">
        <f t="shared" si="9"/>
        <v>7830.5</v>
      </c>
      <c r="I41" s="3">
        <f t="shared" si="9"/>
        <v>7987.200000000001</v>
      </c>
      <c r="J41" s="3">
        <f t="shared" si="9"/>
        <v>8146.9</v>
      </c>
      <c r="K41" s="3">
        <f t="shared" si="9"/>
        <v>8309.8</v>
      </c>
      <c r="L41" s="3">
        <f t="shared" si="9"/>
        <v>8476</v>
      </c>
      <c r="M41" s="3">
        <f t="shared" si="9"/>
        <v>8645.5</v>
      </c>
      <c r="N41" s="3">
        <f t="shared" si="9"/>
        <v>8818.5</v>
      </c>
      <c r="O41" s="3">
        <f t="shared" si="9"/>
        <v>8994.8</v>
      </c>
    </row>
    <row r="42" spans="1:15" ht="18.75">
      <c r="A42" s="8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.75">
      <c r="A43" s="8" t="s">
        <v>51</v>
      </c>
      <c r="B43" s="3">
        <v>3001.6</v>
      </c>
      <c r="C43" s="3">
        <v>3140</v>
      </c>
      <c r="D43" s="3">
        <v>3234.2</v>
      </c>
      <c r="E43" s="59">
        <v>3897.3</v>
      </c>
      <c r="F43" s="59">
        <v>3717.3</v>
      </c>
      <c r="G43" s="59">
        <v>3726.3</v>
      </c>
      <c r="H43" s="3">
        <v>3636</v>
      </c>
      <c r="I43" s="3">
        <f>3810-208.2</f>
        <v>3601.8</v>
      </c>
      <c r="J43" s="3">
        <f>3988-335.8</f>
        <v>3652.2</v>
      </c>
      <c r="K43" s="3">
        <f>4172-500</f>
        <v>3672</v>
      </c>
      <c r="L43" s="3">
        <f>4360-600</f>
        <v>3760</v>
      </c>
      <c r="M43" s="3">
        <f>4572-721.3</f>
        <v>3850.7</v>
      </c>
      <c r="N43" s="3">
        <f>4780-913.5</f>
        <v>3866.5</v>
      </c>
      <c r="O43" s="3">
        <f>5040.6-1145.9</f>
        <v>3894.7000000000003</v>
      </c>
    </row>
    <row r="44" spans="1:15" ht="18.75">
      <c r="A44" s="8" t="s">
        <v>52</v>
      </c>
      <c r="B44" s="3"/>
      <c r="C44" s="3"/>
      <c r="D44" s="3"/>
      <c r="E44" s="59"/>
      <c r="F44" s="59"/>
      <c r="G44" s="59"/>
      <c r="H44" s="3"/>
      <c r="I44" s="3"/>
      <c r="J44" s="3"/>
      <c r="K44" s="3"/>
      <c r="L44" s="3"/>
      <c r="M44" s="3"/>
      <c r="N44" s="3"/>
      <c r="O44" s="3"/>
    </row>
    <row r="45" spans="1:15" ht="37.5">
      <c r="A45" s="8" t="s">
        <v>53</v>
      </c>
      <c r="B45" s="3"/>
      <c r="C45" s="3"/>
      <c r="D45" s="3"/>
      <c r="E45" s="59"/>
      <c r="F45" s="59"/>
      <c r="G45" s="59"/>
      <c r="H45" s="3"/>
      <c r="I45" s="3"/>
      <c r="J45" s="3"/>
      <c r="K45" s="3"/>
      <c r="L45" s="3"/>
      <c r="M45" s="3"/>
      <c r="N45" s="3"/>
      <c r="O45" s="3"/>
    </row>
    <row r="46" spans="1:15" ht="18.75">
      <c r="A46" s="8" t="s">
        <v>54</v>
      </c>
      <c r="B46" s="3">
        <v>2152.2</v>
      </c>
      <c r="C46" s="3">
        <v>2161.3</v>
      </c>
      <c r="D46" s="3">
        <v>2225.7</v>
      </c>
      <c r="E46" s="59"/>
      <c r="F46" s="59"/>
      <c r="G46" s="59"/>
      <c r="H46" s="3"/>
      <c r="I46" s="3"/>
      <c r="J46" s="3"/>
      <c r="K46" s="3"/>
      <c r="L46" s="3"/>
      <c r="M46" s="3"/>
      <c r="N46" s="3"/>
      <c r="O46" s="3"/>
    </row>
    <row r="47" spans="1:15" ht="18.75">
      <c r="A47" s="8" t="s">
        <v>55</v>
      </c>
      <c r="B47" s="3">
        <v>1137</v>
      </c>
      <c r="C47" s="3">
        <v>1256</v>
      </c>
      <c r="D47" s="3">
        <v>1293.6</v>
      </c>
      <c r="E47" s="59">
        <v>1932.7</v>
      </c>
      <c r="F47" s="59">
        <v>1590.7</v>
      </c>
      <c r="G47" s="59">
        <v>1586.7</v>
      </c>
      <c r="H47" s="3">
        <v>1454</v>
      </c>
      <c r="I47" s="3">
        <v>1524.8</v>
      </c>
      <c r="J47" s="3">
        <v>1595.2</v>
      </c>
      <c r="K47" s="3">
        <v>1678.1</v>
      </c>
      <c r="L47" s="3">
        <v>1657.9</v>
      </c>
      <c r="M47" s="3">
        <v>1744.6</v>
      </c>
      <c r="N47" s="3">
        <v>1843</v>
      </c>
      <c r="O47" s="3">
        <v>1906.4</v>
      </c>
    </row>
    <row r="48" spans="1:15" ht="18.75">
      <c r="A48" s="8" t="s">
        <v>56</v>
      </c>
      <c r="B48" s="3"/>
      <c r="C48" s="3"/>
      <c r="D48" s="3"/>
      <c r="E48" s="59"/>
      <c r="F48" s="59"/>
      <c r="G48" s="59"/>
      <c r="H48" s="3"/>
      <c r="I48" s="3"/>
      <c r="J48" s="3"/>
      <c r="K48" s="3"/>
      <c r="L48" s="3"/>
      <c r="M48" s="3"/>
      <c r="N48" s="3"/>
      <c r="O48" s="3"/>
    </row>
    <row r="49" spans="1:15" ht="18.75">
      <c r="A49" s="8" t="s">
        <v>57</v>
      </c>
      <c r="B49" s="3"/>
      <c r="C49" s="3"/>
      <c r="D49" s="3"/>
      <c r="E49" s="59">
        <v>10</v>
      </c>
      <c r="F49" s="59">
        <v>10</v>
      </c>
      <c r="G49" s="59">
        <v>10</v>
      </c>
      <c r="H49" s="3"/>
      <c r="I49" s="3"/>
      <c r="J49" s="3"/>
      <c r="K49" s="3"/>
      <c r="L49" s="3"/>
      <c r="M49" s="3"/>
      <c r="N49" s="3"/>
      <c r="O49" s="3"/>
    </row>
    <row r="50" spans="1:15" ht="21.75" customHeight="1">
      <c r="A50" s="8" t="s">
        <v>58</v>
      </c>
      <c r="B50" s="3">
        <v>2263</v>
      </c>
      <c r="C50" s="3">
        <v>2378.9</v>
      </c>
      <c r="D50" s="3">
        <v>2449</v>
      </c>
      <c r="E50" s="59">
        <v>2200</v>
      </c>
      <c r="F50" s="59">
        <v>2200</v>
      </c>
      <c r="G50" s="59">
        <v>2200</v>
      </c>
      <c r="H50" s="3">
        <f>2768.4-181.9</f>
        <v>2586.5</v>
      </c>
      <c r="I50" s="3">
        <f>2906.6-200</f>
        <v>2706.6</v>
      </c>
      <c r="J50" s="3">
        <v>2740.8</v>
      </c>
      <c r="K50" s="3">
        <f>3181.1-380.4</f>
        <v>2800.7</v>
      </c>
      <c r="L50" s="3">
        <f>3324-424.9</f>
        <v>2899.1</v>
      </c>
      <c r="M50" s="3">
        <f>3486.2-600</f>
        <v>2886.2</v>
      </c>
      <c r="N50" s="3">
        <f>3645-700</f>
        <v>2945</v>
      </c>
      <c r="O50" s="3">
        <v>3024.7</v>
      </c>
    </row>
    <row r="51" spans="1:15" ht="18.75">
      <c r="A51" s="8" t="s">
        <v>59</v>
      </c>
      <c r="B51" s="3"/>
      <c r="C51" s="3"/>
      <c r="D51" s="3"/>
      <c r="E51" s="59"/>
      <c r="F51" s="59"/>
      <c r="G51" s="59"/>
      <c r="H51" s="3"/>
      <c r="I51" s="3"/>
      <c r="J51" s="3"/>
      <c r="K51" s="3"/>
      <c r="L51" s="3"/>
      <c r="M51" s="3"/>
      <c r="N51" s="3"/>
      <c r="O51" s="3"/>
    </row>
    <row r="52" spans="1:15" ht="18.75">
      <c r="A52" s="8" t="s">
        <v>60</v>
      </c>
      <c r="B52" s="3">
        <v>72</v>
      </c>
      <c r="C52" s="3">
        <v>108</v>
      </c>
      <c r="D52" s="3">
        <v>108</v>
      </c>
      <c r="E52" s="59">
        <v>135</v>
      </c>
      <c r="F52" s="59">
        <v>144</v>
      </c>
      <c r="G52" s="59">
        <v>144</v>
      </c>
      <c r="H52" s="3">
        <v>144</v>
      </c>
      <c r="I52" s="3">
        <v>144</v>
      </c>
      <c r="J52" s="3">
        <v>144</v>
      </c>
      <c r="K52" s="3">
        <v>144</v>
      </c>
      <c r="L52" s="3">
        <v>144</v>
      </c>
      <c r="M52" s="3">
        <v>144</v>
      </c>
      <c r="N52" s="3">
        <v>144</v>
      </c>
      <c r="O52" s="3">
        <v>144</v>
      </c>
    </row>
    <row r="53" spans="1:15" ht="18.75">
      <c r="A53" s="8" t="s">
        <v>61</v>
      </c>
      <c r="B53" s="3">
        <v>10</v>
      </c>
      <c r="C53" s="3">
        <v>10</v>
      </c>
      <c r="D53" s="3">
        <v>10</v>
      </c>
      <c r="E53" s="59">
        <v>10</v>
      </c>
      <c r="F53" s="59">
        <v>10</v>
      </c>
      <c r="G53" s="59">
        <v>10</v>
      </c>
      <c r="H53" s="3">
        <v>10</v>
      </c>
      <c r="I53" s="3">
        <v>10</v>
      </c>
      <c r="J53" s="3">
        <v>14.7</v>
      </c>
      <c r="K53" s="3">
        <v>15</v>
      </c>
      <c r="L53" s="3">
        <v>15</v>
      </c>
      <c r="M53" s="3">
        <v>20</v>
      </c>
      <c r="N53" s="3">
        <v>20</v>
      </c>
      <c r="O53" s="3">
        <v>25</v>
      </c>
    </row>
    <row r="54" spans="1:15" ht="18.75">
      <c r="A54" s="8" t="s">
        <v>62</v>
      </c>
      <c r="B54" s="3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7.5">
      <c r="A55" s="8" t="s">
        <v>63</v>
      </c>
      <c r="B55" s="3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75">
      <c r="A56" s="8" t="s">
        <v>64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1:15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</row>
  </sheetData>
  <sheetProtection/>
  <mergeCells count="1">
    <mergeCell ref="A1:O1"/>
  </mergeCells>
  <printOptions/>
  <pageMargins left="0.16" right="0.17" top="0.3" bottom="0.22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="84" zoomScaleNormal="84" zoomScalePageLayoutView="0" workbookViewId="0" topLeftCell="A13">
      <selection activeCell="P9" sqref="P9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6.2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64.5" customHeight="1">
      <c r="A3" s="2" t="s">
        <v>4</v>
      </c>
      <c r="B3" s="3">
        <v>5514.4</v>
      </c>
      <c r="C3" s="3">
        <v>5576.5</v>
      </c>
      <c r="D3" s="3">
        <v>5588.1</v>
      </c>
      <c r="E3" s="9">
        <f>E4+E7</f>
        <v>4003.7999999999997</v>
      </c>
      <c r="F3" s="9">
        <f aca="true" t="shared" si="0" ref="F3:O3">F4+F7</f>
        <v>3767.5</v>
      </c>
      <c r="G3" s="9">
        <f t="shared" si="0"/>
        <v>3780.7</v>
      </c>
      <c r="H3" s="9">
        <f t="shared" si="0"/>
        <v>3856.314</v>
      </c>
      <c r="I3" s="9">
        <f t="shared" si="0"/>
        <v>3933.4402800000003</v>
      </c>
      <c r="J3" s="9">
        <f t="shared" si="0"/>
        <v>4012.1090856000005</v>
      </c>
      <c r="K3" s="9">
        <f t="shared" si="0"/>
        <v>4092.3512673120003</v>
      </c>
      <c r="L3" s="9">
        <f t="shared" si="0"/>
        <v>4174.1982926582405</v>
      </c>
      <c r="M3" s="9">
        <f t="shared" si="0"/>
        <v>4257.682258511406</v>
      </c>
      <c r="N3" s="9">
        <f t="shared" si="0"/>
        <v>4342.835903681634</v>
      </c>
      <c r="O3" s="9">
        <f t="shared" si="0"/>
        <v>4429.692621755266</v>
      </c>
    </row>
    <row r="4" spans="1:15" ht="18.75">
      <c r="A4" s="3" t="s">
        <v>5</v>
      </c>
      <c r="B4" s="3">
        <v>1553.1</v>
      </c>
      <c r="C4" s="3">
        <v>1590.6</v>
      </c>
      <c r="D4" s="3">
        <v>1589.2</v>
      </c>
      <c r="E4" s="9">
        <f>E5+E6</f>
        <v>709.1</v>
      </c>
      <c r="F4" s="9">
        <f aca="true" t="shared" si="1" ref="F4:O4">F5+F6</f>
        <v>713.5</v>
      </c>
      <c r="G4" s="9">
        <f t="shared" si="1"/>
        <v>726.7</v>
      </c>
      <c r="H4" s="9">
        <f t="shared" si="1"/>
        <v>741.234</v>
      </c>
      <c r="I4" s="9">
        <f t="shared" si="1"/>
        <v>756.05868</v>
      </c>
      <c r="J4" s="9">
        <f t="shared" si="1"/>
        <v>771.1798536</v>
      </c>
      <c r="K4" s="9">
        <f t="shared" si="1"/>
        <v>786.603450672</v>
      </c>
      <c r="L4" s="9">
        <f t="shared" si="1"/>
        <v>802.3355196854401</v>
      </c>
      <c r="M4" s="9">
        <f t="shared" si="1"/>
        <v>818.3822300791489</v>
      </c>
      <c r="N4" s="9">
        <f t="shared" si="1"/>
        <v>834.7498746807319</v>
      </c>
      <c r="O4" s="9">
        <f t="shared" si="1"/>
        <v>851.4448721743465</v>
      </c>
    </row>
    <row r="5" spans="1:15" ht="18.75">
      <c r="A5" s="5" t="s">
        <v>6</v>
      </c>
      <c r="B5" s="3">
        <v>1268.3</v>
      </c>
      <c r="C5" s="3">
        <v>1301</v>
      </c>
      <c r="D5" s="3">
        <v>1334.3</v>
      </c>
      <c r="E5" s="9">
        <f>E15</f>
        <v>507.1</v>
      </c>
      <c r="F5" s="9">
        <f aca="true" t="shared" si="2" ref="F5:O5">F15</f>
        <v>521.5</v>
      </c>
      <c r="G5" s="9">
        <f t="shared" si="2"/>
        <v>534.7</v>
      </c>
      <c r="H5" s="9">
        <f t="shared" si="2"/>
        <v>545.394</v>
      </c>
      <c r="I5" s="9">
        <f t="shared" si="2"/>
        <v>556.30188</v>
      </c>
      <c r="J5" s="9">
        <f t="shared" si="2"/>
        <v>567.4279176</v>
      </c>
      <c r="K5" s="9">
        <f t="shared" si="2"/>
        <v>578.776475952</v>
      </c>
      <c r="L5" s="9">
        <f t="shared" si="2"/>
        <v>590.3520054710401</v>
      </c>
      <c r="M5" s="9">
        <f t="shared" si="2"/>
        <v>602.1590455804609</v>
      </c>
      <c r="N5" s="9">
        <f t="shared" si="2"/>
        <v>614.2022264920702</v>
      </c>
      <c r="O5" s="9">
        <f t="shared" si="2"/>
        <v>626.4862710219115</v>
      </c>
    </row>
    <row r="6" spans="1:15" ht="18.75">
      <c r="A6" s="5" t="s">
        <v>7</v>
      </c>
      <c r="B6" s="3">
        <v>284.8</v>
      </c>
      <c r="C6" s="3">
        <v>289.6</v>
      </c>
      <c r="D6" s="3">
        <v>254.9</v>
      </c>
      <c r="E6" s="9">
        <f>E26</f>
        <v>202</v>
      </c>
      <c r="F6" s="9">
        <f aca="true" t="shared" si="3" ref="F6:O6">F26</f>
        <v>192</v>
      </c>
      <c r="G6" s="9">
        <f t="shared" si="3"/>
        <v>192</v>
      </c>
      <c r="H6" s="9">
        <f t="shared" si="3"/>
        <v>195.84</v>
      </c>
      <c r="I6" s="9">
        <f t="shared" si="3"/>
        <v>199.7568</v>
      </c>
      <c r="J6" s="9">
        <f t="shared" si="3"/>
        <v>203.751936</v>
      </c>
      <c r="K6" s="9">
        <f t="shared" si="3"/>
        <v>207.82697472</v>
      </c>
      <c r="L6" s="9">
        <f t="shared" si="3"/>
        <v>211.9835142144</v>
      </c>
      <c r="M6" s="9">
        <f t="shared" si="3"/>
        <v>216.223184498688</v>
      </c>
      <c r="N6" s="9">
        <f t="shared" si="3"/>
        <v>220.54764818866175</v>
      </c>
      <c r="O6" s="9">
        <f t="shared" si="3"/>
        <v>224.958601152435</v>
      </c>
    </row>
    <row r="7" spans="1:15" ht="75">
      <c r="A7" s="3" t="s">
        <v>8</v>
      </c>
      <c r="B7" s="3">
        <v>3961.3</v>
      </c>
      <c r="C7" s="3">
        <v>3985.9</v>
      </c>
      <c r="D7" s="3">
        <v>3998.9</v>
      </c>
      <c r="E7" s="9">
        <f>E34</f>
        <v>3294.7</v>
      </c>
      <c r="F7" s="9">
        <f aca="true" t="shared" si="4" ref="F7:O7">F34</f>
        <v>3054</v>
      </c>
      <c r="G7" s="9">
        <f t="shared" si="4"/>
        <v>3054</v>
      </c>
      <c r="H7" s="9">
        <f t="shared" si="4"/>
        <v>3115.08</v>
      </c>
      <c r="I7" s="9">
        <f t="shared" si="4"/>
        <v>3177.3816</v>
      </c>
      <c r="J7" s="9">
        <f t="shared" si="4"/>
        <v>3240.9292320000004</v>
      </c>
      <c r="K7" s="9">
        <f t="shared" si="4"/>
        <v>3305.7478166400006</v>
      </c>
      <c r="L7" s="9">
        <f t="shared" si="4"/>
        <v>3371.8627729728005</v>
      </c>
      <c r="M7" s="9">
        <f t="shared" si="4"/>
        <v>3439.3000284322566</v>
      </c>
      <c r="N7" s="9">
        <f t="shared" si="4"/>
        <v>3508.086029000902</v>
      </c>
      <c r="O7" s="9">
        <f t="shared" si="4"/>
        <v>3578.24774958092</v>
      </c>
    </row>
    <row r="8" spans="1:15" ht="79.5" customHeight="1">
      <c r="A8" s="2" t="s">
        <v>9</v>
      </c>
      <c r="B8" s="3">
        <v>5514.4</v>
      </c>
      <c r="C8" s="3">
        <v>5576.5</v>
      </c>
      <c r="D8" s="3">
        <v>5588.1</v>
      </c>
      <c r="E8" s="3">
        <f>E41</f>
        <v>4003.8</v>
      </c>
      <c r="F8" s="3">
        <f aca="true" t="shared" si="5" ref="F8:O8">F41</f>
        <v>3767.5</v>
      </c>
      <c r="G8" s="3">
        <f t="shared" si="5"/>
        <v>3780.7000000000003</v>
      </c>
      <c r="H8" s="3">
        <f t="shared" si="5"/>
        <v>3856.3</v>
      </c>
      <c r="I8" s="3">
        <f t="shared" si="5"/>
        <v>3933.4</v>
      </c>
      <c r="J8" s="3">
        <f t="shared" si="5"/>
        <v>4012.1000000000004</v>
      </c>
      <c r="K8" s="3">
        <f t="shared" si="5"/>
        <v>4092.3999999999996</v>
      </c>
      <c r="L8" s="3">
        <f t="shared" si="5"/>
        <v>4174.2</v>
      </c>
      <c r="M8" s="3">
        <f t="shared" si="5"/>
        <v>4257.7</v>
      </c>
      <c r="N8" s="3">
        <f t="shared" si="5"/>
        <v>4342.8</v>
      </c>
      <c r="O8" s="3">
        <f t="shared" si="5"/>
        <v>4429.7</v>
      </c>
    </row>
    <row r="9" spans="1:15" s="55" customFormat="1" ht="18.75">
      <c r="A9" s="53" t="s">
        <v>10</v>
      </c>
      <c r="B9" s="59">
        <v>0</v>
      </c>
      <c r="C9" s="59">
        <v>0</v>
      </c>
      <c r="D9" s="59"/>
      <c r="E9" s="67">
        <f>E3-E8</f>
        <v>0</v>
      </c>
      <c r="F9" s="67">
        <f aca="true" t="shared" si="6" ref="F9:O9">F3-F8</f>
        <v>0</v>
      </c>
      <c r="G9" s="67">
        <f t="shared" si="6"/>
        <v>0</v>
      </c>
      <c r="H9" s="67">
        <f t="shared" si="6"/>
        <v>0.013999999999668944</v>
      </c>
      <c r="I9" s="67">
        <f t="shared" si="6"/>
        <v>0.04028000000016618</v>
      </c>
      <c r="J9" s="67">
        <f t="shared" si="6"/>
        <v>0.00908560000016223</v>
      </c>
      <c r="K9" s="67">
        <f t="shared" si="6"/>
        <v>-0.04873268799929065</v>
      </c>
      <c r="L9" s="67">
        <f t="shared" si="6"/>
        <v>-0.0017073417593564955</v>
      </c>
      <c r="M9" s="67">
        <f t="shared" si="6"/>
        <v>-0.017741488593856047</v>
      </c>
      <c r="N9" s="67">
        <f t="shared" si="6"/>
        <v>0.03590368163349922</v>
      </c>
      <c r="O9" s="67">
        <f t="shared" si="6"/>
        <v>-0.007378244733445172</v>
      </c>
    </row>
    <row r="10" spans="1:15" ht="18.75">
      <c r="A10" s="2" t="s">
        <v>11</v>
      </c>
      <c r="B10" s="3">
        <v>0</v>
      </c>
      <c r="C10" s="3">
        <v>0</v>
      </c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3">
        <v>5514.4</v>
      </c>
      <c r="C13" s="3">
        <v>5576.5</v>
      </c>
      <c r="D13" s="3">
        <v>5588.1</v>
      </c>
      <c r="E13" s="9">
        <f>E14+E34</f>
        <v>4003.7999999999997</v>
      </c>
      <c r="F13" s="9">
        <f>F14+F34</f>
        <v>3767.5</v>
      </c>
      <c r="G13" s="9">
        <f>G14+G34</f>
        <v>3780.7</v>
      </c>
      <c r="H13" s="9">
        <f>G13*1.02</f>
        <v>3856.314</v>
      </c>
      <c r="I13" s="9">
        <f aca="true" t="shared" si="7" ref="I13:O13">H13*1.02</f>
        <v>3933.44028</v>
      </c>
      <c r="J13" s="9">
        <f t="shared" si="7"/>
        <v>4012.1090856</v>
      </c>
      <c r="K13" s="9">
        <f t="shared" si="7"/>
        <v>4092.3512673120003</v>
      </c>
      <c r="L13" s="9">
        <f t="shared" si="7"/>
        <v>4174.1982926582405</v>
      </c>
      <c r="M13" s="9">
        <f t="shared" si="7"/>
        <v>4257.682258511405</v>
      </c>
      <c r="N13" s="9">
        <f t="shared" si="7"/>
        <v>4342.835903681634</v>
      </c>
      <c r="O13" s="9">
        <f t="shared" si="7"/>
        <v>4429.692621755266</v>
      </c>
    </row>
    <row r="14" spans="1:15" ht="37.5">
      <c r="A14" s="6" t="s">
        <v>24</v>
      </c>
      <c r="B14" s="3">
        <v>1553.1</v>
      </c>
      <c r="C14" s="3">
        <v>1590.6</v>
      </c>
      <c r="D14" s="3">
        <v>1589.2</v>
      </c>
      <c r="E14" s="9">
        <f>E15+E26</f>
        <v>709.1</v>
      </c>
      <c r="F14" s="9">
        <f>F15+F26</f>
        <v>713.5</v>
      </c>
      <c r="G14" s="9">
        <f>G15+G26</f>
        <v>726.7</v>
      </c>
      <c r="H14" s="9">
        <f aca="true" t="shared" si="8" ref="H14:O14">G14*1.02</f>
        <v>741.234</v>
      </c>
      <c r="I14" s="9">
        <f t="shared" si="8"/>
        <v>756.0586800000001</v>
      </c>
      <c r="J14" s="9">
        <f t="shared" si="8"/>
        <v>771.1798536000001</v>
      </c>
      <c r="K14" s="9">
        <f t="shared" si="8"/>
        <v>786.6034506720001</v>
      </c>
      <c r="L14" s="9">
        <f t="shared" si="8"/>
        <v>802.3355196854401</v>
      </c>
      <c r="M14" s="9">
        <f t="shared" si="8"/>
        <v>818.3822300791489</v>
      </c>
      <c r="N14" s="9">
        <f t="shared" si="8"/>
        <v>834.749874680732</v>
      </c>
      <c r="O14" s="9">
        <f t="shared" si="8"/>
        <v>851.4448721743466</v>
      </c>
    </row>
    <row r="15" spans="1:15" ht="19.5">
      <c r="A15" s="7" t="s">
        <v>25</v>
      </c>
      <c r="B15" s="3">
        <v>1268.3</v>
      </c>
      <c r="C15" s="3">
        <v>1301</v>
      </c>
      <c r="D15" s="3">
        <v>1334.3</v>
      </c>
      <c r="E15" s="9">
        <f>E16+E17+E19+E21+E22</f>
        <v>507.1</v>
      </c>
      <c r="F15" s="9">
        <f>F16+F17+F19+F21+F22</f>
        <v>521.5</v>
      </c>
      <c r="G15" s="9">
        <f>G16+G17+G19+G21+G22</f>
        <v>534.7</v>
      </c>
      <c r="H15" s="9">
        <f aca="true" t="shared" si="9" ref="H15:O15">G15*1.02</f>
        <v>545.394</v>
      </c>
      <c r="I15" s="9">
        <f t="shared" si="9"/>
        <v>556.30188</v>
      </c>
      <c r="J15" s="9">
        <f t="shared" si="9"/>
        <v>567.4279176</v>
      </c>
      <c r="K15" s="9">
        <f t="shared" si="9"/>
        <v>578.776475952</v>
      </c>
      <c r="L15" s="9">
        <f t="shared" si="9"/>
        <v>590.3520054710401</v>
      </c>
      <c r="M15" s="9">
        <f t="shared" si="9"/>
        <v>602.1590455804609</v>
      </c>
      <c r="N15" s="9">
        <f t="shared" si="9"/>
        <v>614.2022264920702</v>
      </c>
      <c r="O15" s="9">
        <f t="shared" si="9"/>
        <v>626.4862710219115</v>
      </c>
    </row>
    <row r="16" spans="1:15" ht="18.75">
      <c r="A16" s="8" t="s">
        <v>26</v>
      </c>
      <c r="B16" s="3">
        <v>400</v>
      </c>
      <c r="C16" s="3">
        <v>410</v>
      </c>
      <c r="D16" s="3">
        <v>420</v>
      </c>
      <c r="E16" s="9">
        <v>65.1</v>
      </c>
      <c r="F16" s="9">
        <v>70</v>
      </c>
      <c r="G16" s="9">
        <v>70</v>
      </c>
      <c r="H16" s="9">
        <f aca="true" t="shared" si="10" ref="H16:O16">G16*1.02</f>
        <v>71.4</v>
      </c>
      <c r="I16" s="9">
        <f t="shared" si="10"/>
        <v>72.828</v>
      </c>
      <c r="J16" s="9">
        <f t="shared" si="10"/>
        <v>74.28456</v>
      </c>
      <c r="K16" s="9">
        <f t="shared" si="10"/>
        <v>75.7702512</v>
      </c>
      <c r="L16" s="9">
        <f t="shared" si="10"/>
        <v>77.28565622400001</v>
      </c>
      <c r="M16" s="9">
        <f t="shared" si="10"/>
        <v>78.83136934848001</v>
      </c>
      <c r="N16" s="9">
        <f t="shared" si="10"/>
        <v>80.40799673544961</v>
      </c>
      <c r="O16" s="9">
        <f t="shared" si="10"/>
        <v>82.01615667015861</v>
      </c>
    </row>
    <row r="17" spans="1:15" ht="56.25">
      <c r="A17" s="8" t="s">
        <v>27</v>
      </c>
      <c r="B17" s="3">
        <v>652.3</v>
      </c>
      <c r="C17" s="3">
        <v>671.8</v>
      </c>
      <c r="D17" s="3">
        <v>692</v>
      </c>
      <c r="E17" s="9">
        <v>0</v>
      </c>
      <c r="F17" s="9">
        <v>0</v>
      </c>
      <c r="G17" s="9">
        <v>0</v>
      </c>
      <c r="H17" s="9">
        <f aca="true" t="shared" si="11" ref="H17:O17">G17*1.02</f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11"/>
        <v>0</v>
      </c>
      <c r="N17" s="9">
        <f t="shared" si="11"/>
        <v>0</v>
      </c>
      <c r="O17" s="9">
        <f t="shared" si="11"/>
        <v>0</v>
      </c>
    </row>
    <row r="18" spans="1:15" ht="37.5">
      <c r="A18" s="8" t="s">
        <v>28</v>
      </c>
      <c r="B18" s="3"/>
      <c r="C18" s="3"/>
      <c r="D18" s="3"/>
      <c r="E18" s="9">
        <v>0</v>
      </c>
      <c r="F18" s="46">
        <v>0</v>
      </c>
      <c r="G18" s="46">
        <v>0</v>
      </c>
      <c r="H18" s="9">
        <f aca="true" t="shared" si="12" ref="H18:O18">G18*1.02</f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  <c r="O18" s="9">
        <f t="shared" si="12"/>
        <v>0</v>
      </c>
    </row>
    <row r="19" spans="1:15" ht="37.5">
      <c r="A19" s="8" t="s">
        <v>29</v>
      </c>
      <c r="B19" s="3"/>
      <c r="C19" s="3"/>
      <c r="D19" s="3"/>
      <c r="E19" s="9">
        <v>10</v>
      </c>
      <c r="F19" s="65">
        <v>13.5</v>
      </c>
      <c r="G19" s="65">
        <v>14.7</v>
      </c>
      <c r="H19" s="9">
        <f aca="true" t="shared" si="13" ref="H19:O19">G19*1.02</f>
        <v>14.994</v>
      </c>
      <c r="I19" s="9">
        <f t="shared" si="13"/>
        <v>15.29388</v>
      </c>
      <c r="J19" s="9">
        <f t="shared" si="13"/>
        <v>15.5997576</v>
      </c>
      <c r="K19" s="9">
        <f t="shared" si="13"/>
        <v>15.911752752</v>
      </c>
      <c r="L19" s="9">
        <f t="shared" si="13"/>
        <v>16.22998780704</v>
      </c>
      <c r="M19" s="9">
        <f t="shared" si="13"/>
        <v>16.5545875631808</v>
      </c>
      <c r="N19" s="9">
        <f t="shared" si="13"/>
        <v>16.885679314444417</v>
      </c>
      <c r="O19" s="9">
        <f t="shared" si="13"/>
        <v>17.223392900733305</v>
      </c>
    </row>
    <row r="20" spans="1:15" ht="56.25">
      <c r="A20" s="8" t="s">
        <v>30</v>
      </c>
      <c r="B20" s="3"/>
      <c r="C20" s="3"/>
      <c r="D20" s="3"/>
      <c r="E20" s="9">
        <v>0</v>
      </c>
      <c r="F20" s="46">
        <v>0</v>
      </c>
      <c r="G20" s="46">
        <v>0</v>
      </c>
      <c r="H20" s="9">
        <f aca="true" t="shared" si="14" ref="H20:O20">G20*1.02</f>
        <v>0</v>
      </c>
      <c r="I20" s="9">
        <f t="shared" si="14"/>
        <v>0</v>
      </c>
      <c r="J20" s="9">
        <f t="shared" si="14"/>
        <v>0</v>
      </c>
      <c r="K20" s="9">
        <f t="shared" si="14"/>
        <v>0</v>
      </c>
      <c r="L20" s="9">
        <f t="shared" si="14"/>
        <v>0</v>
      </c>
      <c r="M20" s="9">
        <f t="shared" si="14"/>
        <v>0</v>
      </c>
      <c r="N20" s="9">
        <f t="shared" si="14"/>
        <v>0</v>
      </c>
      <c r="O20" s="9">
        <f t="shared" si="14"/>
        <v>0</v>
      </c>
    </row>
    <row r="21" spans="1:15" ht="37.5">
      <c r="A21" s="8" t="s">
        <v>31</v>
      </c>
      <c r="B21" s="3">
        <v>45</v>
      </c>
      <c r="C21" s="3">
        <v>46</v>
      </c>
      <c r="D21" s="3">
        <v>47</v>
      </c>
      <c r="E21" s="9">
        <v>45</v>
      </c>
      <c r="F21" s="9">
        <v>45</v>
      </c>
      <c r="G21" s="9">
        <v>50</v>
      </c>
      <c r="H21" s="9">
        <f aca="true" t="shared" si="15" ref="H21:O21">G21*1.02</f>
        <v>51</v>
      </c>
      <c r="I21" s="9">
        <f t="shared" si="15"/>
        <v>52.02</v>
      </c>
      <c r="J21" s="9">
        <f t="shared" si="15"/>
        <v>53.0604</v>
      </c>
      <c r="K21" s="9">
        <f t="shared" si="15"/>
        <v>54.121608</v>
      </c>
      <c r="L21" s="9">
        <f t="shared" si="15"/>
        <v>55.204040160000005</v>
      </c>
      <c r="M21" s="9">
        <f t="shared" si="15"/>
        <v>56.308120963200004</v>
      </c>
      <c r="N21" s="9">
        <f t="shared" si="15"/>
        <v>57.434283382464</v>
      </c>
      <c r="O21" s="9">
        <f t="shared" si="15"/>
        <v>58.582969050113284</v>
      </c>
    </row>
    <row r="22" spans="1:15" ht="18.75">
      <c r="A22" s="8" t="s">
        <v>32</v>
      </c>
      <c r="B22" s="3">
        <v>168</v>
      </c>
      <c r="C22" s="3">
        <v>170</v>
      </c>
      <c r="D22" s="3">
        <v>172</v>
      </c>
      <c r="E22" s="9">
        <v>387</v>
      </c>
      <c r="F22" s="9">
        <v>393</v>
      </c>
      <c r="G22" s="9">
        <v>400</v>
      </c>
      <c r="H22" s="9">
        <f aca="true" t="shared" si="16" ref="H22:O22">G22*1.02</f>
        <v>408</v>
      </c>
      <c r="I22" s="9">
        <f t="shared" si="16"/>
        <v>416.16</v>
      </c>
      <c r="J22" s="9">
        <f t="shared" si="16"/>
        <v>424.4832</v>
      </c>
      <c r="K22" s="9">
        <f t="shared" si="16"/>
        <v>432.972864</v>
      </c>
      <c r="L22" s="9">
        <f t="shared" si="16"/>
        <v>441.63232128000004</v>
      </c>
      <c r="M22" s="9">
        <f t="shared" si="16"/>
        <v>450.46496770560003</v>
      </c>
      <c r="N22" s="9">
        <f t="shared" si="16"/>
        <v>459.474267059712</v>
      </c>
      <c r="O22" s="9">
        <f t="shared" si="16"/>
        <v>468.6637524009063</v>
      </c>
    </row>
    <row r="23" spans="1:15" ht="56.25">
      <c r="A23" s="8" t="s">
        <v>33</v>
      </c>
      <c r="B23" s="3"/>
      <c r="C23" s="3"/>
      <c r="D23" s="3"/>
      <c r="E23" s="9">
        <v>0</v>
      </c>
      <c r="F23" s="46">
        <v>0</v>
      </c>
      <c r="G23" s="46">
        <v>0</v>
      </c>
      <c r="H23" s="9">
        <f aca="true" t="shared" si="17" ref="H23:O23">G23*1.02</f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0</v>
      </c>
      <c r="M23" s="9">
        <f t="shared" si="17"/>
        <v>0</v>
      </c>
      <c r="N23" s="9">
        <f t="shared" si="17"/>
        <v>0</v>
      </c>
      <c r="O23" s="9">
        <f t="shared" si="17"/>
        <v>0</v>
      </c>
    </row>
    <row r="24" spans="1:15" ht="18.75">
      <c r="A24" s="8" t="s">
        <v>34</v>
      </c>
      <c r="B24" s="3">
        <v>3</v>
      </c>
      <c r="C24" s="3">
        <v>3.2</v>
      </c>
      <c r="D24" s="3">
        <v>3.3</v>
      </c>
      <c r="E24" s="9">
        <v>0</v>
      </c>
      <c r="F24" s="9">
        <v>0</v>
      </c>
      <c r="G24" s="9">
        <v>0</v>
      </c>
      <c r="H24" s="9">
        <f aca="true" t="shared" si="18" ref="H24:O24">G24*1.02</f>
        <v>0</v>
      </c>
      <c r="I24" s="9">
        <f t="shared" si="18"/>
        <v>0</v>
      </c>
      <c r="J24" s="9">
        <f t="shared" si="18"/>
        <v>0</v>
      </c>
      <c r="K24" s="9">
        <f t="shared" si="18"/>
        <v>0</v>
      </c>
      <c r="L24" s="9">
        <f t="shared" si="18"/>
        <v>0</v>
      </c>
      <c r="M24" s="9">
        <f t="shared" si="18"/>
        <v>0</v>
      </c>
      <c r="N24" s="9">
        <f t="shared" si="18"/>
        <v>0</v>
      </c>
      <c r="O24" s="9">
        <f t="shared" si="18"/>
        <v>0</v>
      </c>
    </row>
    <row r="25" spans="1:15" ht="56.25">
      <c r="A25" s="8" t="s">
        <v>35</v>
      </c>
      <c r="B25" s="3"/>
      <c r="C25" s="3"/>
      <c r="D25" s="3"/>
      <c r="E25" s="9">
        <v>0</v>
      </c>
      <c r="F25" s="46">
        <v>0</v>
      </c>
      <c r="G25" s="46">
        <v>0</v>
      </c>
      <c r="H25" s="9">
        <f aca="true" t="shared" si="19" ref="H25:O25">G25*1.02</f>
        <v>0</v>
      </c>
      <c r="I25" s="9">
        <f t="shared" si="19"/>
        <v>0</v>
      </c>
      <c r="J25" s="9">
        <f t="shared" si="19"/>
        <v>0</v>
      </c>
      <c r="K25" s="9">
        <f t="shared" si="19"/>
        <v>0</v>
      </c>
      <c r="L25" s="9">
        <f t="shared" si="19"/>
        <v>0</v>
      </c>
      <c r="M25" s="9">
        <f t="shared" si="19"/>
        <v>0</v>
      </c>
      <c r="N25" s="9">
        <f t="shared" si="19"/>
        <v>0</v>
      </c>
      <c r="O25" s="9">
        <f t="shared" si="19"/>
        <v>0</v>
      </c>
    </row>
    <row r="26" spans="1:15" ht="19.5">
      <c r="A26" s="7" t="s">
        <v>36</v>
      </c>
      <c r="B26" s="3">
        <v>284.8</v>
      </c>
      <c r="C26" s="3">
        <v>289.6</v>
      </c>
      <c r="D26" s="3">
        <v>254.9</v>
      </c>
      <c r="E26" s="9">
        <f>E27+E29+E30</f>
        <v>202</v>
      </c>
      <c r="F26" s="9">
        <f>F27+F29+F30</f>
        <v>192</v>
      </c>
      <c r="G26" s="9">
        <f>G27+G29+G30</f>
        <v>192</v>
      </c>
      <c r="H26" s="9">
        <f aca="true" t="shared" si="20" ref="H26:O26">G26*1.02</f>
        <v>195.84</v>
      </c>
      <c r="I26" s="9">
        <f t="shared" si="20"/>
        <v>199.7568</v>
      </c>
      <c r="J26" s="9">
        <f t="shared" si="20"/>
        <v>203.751936</v>
      </c>
      <c r="K26" s="9">
        <f t="shared" si="20"/>
        <v>207.82697472</v>
      </c>
      <c r="L26" s="9">
        <f t="shared" si="20"/>
        <v>211.9835142144</v>
      </c>
      <c r="M26" s="9">
        <f t="shared" si="20"/>
        <v>216.223184498688</v>
      </c>
      <c r="N26" s="9">
        <f t="shared" si="20"/>
        <v>220.54764818866175</v>
      </c>
      <c r="O26" s="9">
        <f t="shared" si="20"/>
        <v>224.958601152435</v>
      </c>
    </row>
    <row r="27" spans="1:15" ht="75">
      <c r="A27" s="8" t="s">
        <v>37</v>
      </c>
      <c r="B27" s="3">
        <v>182.8</v>
      </c>
      <c r="C27" s="3">
        <v>184.6</v>
      </c>
      <c r="D27" s="3">
        <v>186.5</v>
      </c>
      <c r="E27" s="9">
        <v>132</v>
      </c>
      <c r="F27" s="9">
        <v>132</v>
      </c>
      <c r="G27" s="9">
        <v>132</v>
      </c>
      <c r="H27" s="9">
        <f aca="true" t="shared" si="21" ref="H27:O27">G27*1.02</f>
        <v>134.64000000000001</v>
      </c>
      <c r="I27" s="9">
        <f t="shared" si="21"/>
        <v>137.33280000000002</v>
      </c>
      <c r="J27" s="9">
        <f t="shared" si="21"/>
        <v>140.07945600000002</v>
      </c>
      <c r="K27" s="9">
        <f t="shared" si="21"/>
        <v>142.88104512000004</v>
      </c>
      <c r="L27" s="9">
        <f t="shared" si="21"/>
        <v>145.73866602240005</v>
      </c>
      <c r="M27" s="9">
        <f t="shared" si="21"/>
        <v>148.65343934284806</v>
      </c>
      <c r="N27" s="9">
        <f t="shared" si="21"/>
        <v>151.62650812970503</v>
      </c>
      <c r="O27" s="9">
        <f t="shared" si="21"/>
        <v>154.65903829229913</v>
      </c>
    </row>
    <row r="28" spans="1:15" ht="37.5">
      <c r="A28" s="8" t="s">
        <v>38</v>
      </c>
      <c r="B28" s="3"/>
      <c r="C28" s="3"/>
      <c r="D28" s="3"/>
      <c r="E28" s="9">
        <v>0</v>
      </c>
      <c r="F28" s="46">
        <v>0</v>
      </c>
      <c r="G28" s="46">
        <v>0</v>
      </c>
      <c r="H28" s="9">
        <f aca="true" t="shared" si="22" ref="H28:O28">G28*1.02</f>
        <v>0</v>
      </c>
      <c r="I28" s="9">
        <f t="shared" si="22"/>
        <v>0</v>
      </c>
      <c r="J28" s="9">
        <f t="shared" si="22"/>
        <v>0</v>
      </c>
      <c r="K28" s="9">
        <f t="shared" si="22"/>
        <v>0</v>
      </c>
      <c r="L28" s="9">
        <f t="shared" si="22"/>
        <v>0</v>
      </c>
      <c r="M28" s="9">
        <f t="shared" si="22"/>
        <v>0</v>
      </c>
      <c r="N28" s="9">
        <f t="shared" si="22"/>
        <v>0</v>
      </c>
      <c r="O28" s="9">
        <f t="shared" si="22"/>
        <v>0</v>
      </c>
    </row>
    <row r="29" spans="1:15" ht="56.25">
      <c r="A29" s="8" t="s">
        <v>39</v>
      </c>
      <c r="B29" s="3">
        <v>62</v>
      </c>
      <c r="C29" s="3">
        <v>65</v>
      </c>
      <c r="D29" s="3">
        <v>68</v>
      </c>
      <c r="E29" s="9">
        <v>60</v>
      </c>
      <c r="F29" s="9">
        <v>60</v>
      </c>
      <c r="G29" s="9">
        <v>60</v>
      </c>
      <c r="H29" s="9">
        <f aca="true" t="shared" si="23" ref="H29:O29">G29*1.02</f>
        <v>61.2</v>
      </c>
      <c r="I29" s="9">
        <f t="shared" si="23"/>
        <v>62.42400000000001</v>
      </c>
      <c r="J29" s="9">
        <f t="shared" si="23"/>
        <v>63.67248000000001</v>
      </c>
      <c r="K29" s="9">
        <f t="shared" si="23"/>
        <v>64.94592960000001</v>
      </c>
      <c r="L29" s="9">
        <f t="shared" si="23"/>
        <v>66.24484819200002</v>
      </c>
      <c r="M29" s="9">
        <f t="shared" si="23"/>
        <v>67.56974515584002</v>
      </c>
      <c r="N29" s="9">
        <f t="shared" si="23"/>
        <v>68.92114005895682</v>
      </c>
      <c r="O29" s="9">
        <f t="shared" si="23"/>
        <v>70.29956286013596</v>
      </c>
    </row>
    <row r="30" spans="1:15" ht="37.5">
      <c r="A30" s="8" t="s">
        <v>40</v>
      </c>
      <c r="B30" s="3">
        <v>40</v>
      </c>
      <c r="C30" s="3">
        <v>40</v>
      </c>
      <c r="D30" s="3">
        <v>40</v>
      </c>
      <c r="E30" s="9">
        <v>10</v>
      </c>
      <c r="F30" s="9">
        <v>0</v>
      </c>
      <c r="G30" s="9">
        <v>0</v>
      </c>
      <c r="H30" s="3">
        <f aca="true" t="shared" si="24" ref="H30:O30">G30*1.02</f>
        <v>0</v>
      </c>
      <c r="I30" s="3">
        <f t="shared" si="24"/>
        <v>0</v>
      </c>
      <c r="J30" s="3">
        <f t="shared" si="24"/>
        <v>0</v>
      </c>
      <c r="K30" s="3">
        <f t="shared" si="24"/>
        <v>0</v>
      </c>
      <c r="L30" s="3">
        <f t="shared" si="24"/>
        <v>0</v>
      </c>
      <c r="M30" s="3">
        <f t="shared" si="24"/>
        <v>0</v>
      </c>
      <c r="N30" s="3">
        <f t="shared" si="24"/>
        <v>0</v>
      </c>
      <c r="O30" s="3">
        <f t="shared" si="24"/>
        <v>0</v>
      </c>
    </row>
    <row r="31" spans="1:15" ht="37.5">
      <c r="A31" s="8" t="s">
        <v>41</v>
      </c>
      <c r="B31" s="3"/>
      <c r="C31" s="3"/>
      <c r="D31" s="3"/>
      <c r="E31" s="9">
        <v>0</v>
      </c>
      <c r="F31" s="46">
        <v>0</v>
      </c>
      <c r="G31" s="46">
        <v>0</v>
      </c>
      <c r="H31" s="3">
        <f aca="true" t="shared" si="25" ref="H31:O31">G31*1.02</f>
        <v>0</v>
      </c>
      <c r="I31" s="3">
        <f t="shared" si="25"/>
        <v>0</v>
      </c>
      <c r="J31" s="3">
        <f t="shared" si="25"/>
        <v>0</v>
      </c>
      <c r="K31" s="3">
        <f t="shared" si="25"/>
        <v>0</v>
      </c>
      <c r="L31" s="3">
        <f t="shared" si="25"/>
        <v>0</v>
      </c>
      <c r="M31" s="3">
        <f t="shared" si="25"/>
        <v>0</v>
      </c>
      <c r="N31" s="3">
        <f t="shared" si="25"/>
        <v>0</v>
      </c>
      <c r="O31" s="3">
        <f t="shared" si="25"/>
        <v>0</v>
      </c>
    </row>
    <row r="32" spans="1:15" ht="37.5">
      <c r="A32" s="8" t="s">
        <v>42</v>
      </c>
      <c r="B32" s="3"/>
      <c r="C32" s="3"/>
      <c r="D32" s="3"/>
      <c r="E32" s="9">
        <v>0</v>
      </c>
      <c r="F32" s="46">
        <v>0</v>
      </c>
      <c r="G32" s="46">
        <v>0</v>
      </c>
      <c r="H32" s="3">
        <f aca="true" t="shared" si="26" ref="H32:O32">G32*1.02</f>
        <v>0</v>
      </c>
      <c r="I32" s="3">
        <f t="shared" si="26"/>
        <v>0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0</v>
      </c>
      <c r="N32" s="3">
        <f t="shared" si="26"/>
        <v>0</v>
      </c>
      <c r="O32" s="3">
        <f t="shared" si="26"/>
        <v>0</v>
      </c>
    </row>
    <row r="33" spans="1:15" ht="18.75">
      <c r="A33" s="8" t="s">
        <v>43</v>
      </c>
      <c r="B33" s="3"/>
      <c r="C33" s="3"/>
      <c r="D33" s="3"/>
      <c r="E33" s="9">
        <v>0</v>
      </c>
      <c r="F33" s="46">
        <v>0</v>
      </c>
      <c r="G33" s="46">
        <v>0</v>
      </c>
      <c r="H33" s="3">
        <f aca="true" t="shared" si="27" ref="H33:O33">G33*1.02</f>
        <v>0</v>
      </c>
      <c r="I33" s="3">
        <f t="shared" si="27"/>
        <v>0</v>
      </c>
      <c r="J33" s="3">
        <f t="shared" si="27"/>
        <v>0</v>
      </c>
      <c r="K33" s="3">
        <f t="shared" si="27"/>
        <v>0</v>
      </c>
      <c r="L33" s="3">
        <f t="shared" si="27"/>
        <v>0</v>
      </c>
      <c r="M33" s="3">
        <f t="shared" si="27"/>
        <v>0</v>
      </c>
      <c r="N33" s="3">
        <f t="shared" si="27"/>
        <v>0</v>
      </c>
      <c r="O33" s="3">
        <f t="shared" si="27"/>
        <v>0</v>
      </c>
    </row>
    <row r="34" spans="1:15" ht="75">
      <c r="A34" s="6" t="s">
        <v>44</v>
      </c>
      <c r="B34" s="3">
        <v>3961.3</v>
      </c>
      <c r="C34" s="3">
        <v>3985.9</v>
      </c>
      <c r="D34" s="3">
        <v>3998.9</v>
      </c>
      <c r="E34" s="9">
        <f>E35</f>
        <v>3294.7</v>
      </c>
      <c r="F34" s="9">
        <f>F35</f>
        <v>3054</v>
      </c>
      <c r="G34" s="9">
        <f>G35</f>
        <v>3054</v>
      </c>
      <c r="H34" s="9">
        <f aca="true" t="shared" si="28" ref="H34:O34">G34*1.02</f>
        <v>3115.08</v>
      </c>
      <c r="I34" s="9">
        <f t="shared" si="28"/>
        <v>3177.3816</v>
      </c>
      <c r="J34" s="9">
        <f t="shared" si="28"/>
        <v>3240.9292320000004</v>
      </c>
      <c r="K34" s="9">
        <f t="shared" si="28"/>
        <v>3305.7478166400006</v>
      </c>
      <c r="L34" s="9">
        <f t="shared" si="28"/>
        <v>3371.8627729728005</v>
      </c>
      <c r="M34" s="9">
        <f t="shared" si="28"/>
        <v>3439.3000284322566</v>
      </c>
      <c r="N34" s="9">
        <f t="shared" si="28"/>
        <v>3508.086029000902</v>
      </c>
      <c r="O34" s="9">
        <f t="shared" si="28"/>
        <v>3578.24774958092</v>
      </c>
    </row>
    <row r="35" spans="1:15" ht="18.75">
      <c r="A35" s="8" t="s">
        <v>45</v>
      </c>
      <c r="B35" s="3">
        <v>3840.1</v>
      </c>
      <c r="C35" s="3">
        <v>3864.7</v>
      </c>
      <c r="D35" s="3">
        <v>3877.7</v>
      </c>
      <c r="E35" s="9">
        <v>3294.7</v>
      </c>
      <c r="F35" s="9">
        <v>3054</v>
      </c>
      <c r="G35" s="9">
        <v>3054</v>
      </c>
      <c r="H35" s="9">
        <f aca="true" t="shared" si="29" ref="H35:O35">G35*1.02</f>
        <v>3115.08</v>
      </c>
      <c r="I35" s="9">
        <f t="shared" si="29"/>
        <v>3177.3816</v>
      </c>
      <c r="J35" s="9">
        <f t="shared" si="29"/>
        <v>3240.9292320000004</v>
      </c>
      <c r="K35" s="9">
        <f t="shared" si="29"/>
        <v>3305.7478166400006</v>
      </c>
      <c r="L35" s="9">
        <f t="shared" si="29"/>
        <v>3371.8627729728005</v>
      </c>
      <c r="M35" s="9">
        <f t="shared" si="29"/>
        <v>3439.3000284322566</v>
      </c>
      <c r="N35" s="9">
        <f t="shared" si="29"/>
        <v>3508.086029000902</v>
      </c>
      <c r="O35" s="9">
        <f t="shared" si="29"/>
        <v>3578.24774958092</v>
      </c>
    </row>
    <row r="36" spans="1:15" ht="56.25">
      <c r="A36" s="8" t="s">
        <v>46</v>
      </c>
      <c r="B36" s="3"/>
      <c r="C36" s="3"/>
      <c r="D36" s="3"/>
      <c r="E36" s="3">
        <v>0</v>
      </c>
      <c r="F36" s="4">
        <v>0</v>
      </c>
      <c r="G36" s="4">
        <v>0</v>
      </c>
      <c r="H36" s="3">
        <f aca="true" t="shared" si="30" ref="H36:O36">G36*1.02</f>
        <v>0</v>
      </c>
      <c r="I36" s="3">
        <f t="shared" si="30"/>
        <v>0</v>
      </c>
      <c r="J36" s="3">
        <f t="shared" si="30"/>
        <v>0</v>
      </c>
      <c r="K36" s="3">
        <f t="shared" si="30"/>
        <v>0</v>
      </c>
      <c r="L36" s="3">
        <f t="shared" si="30"/>
        <v>0</v>
      </c>
      <c r="M36" s="3">
        <f t="shared" si="30"/>
        <v>0</v>
      </c>
      <c r="N36" s="3">
        <f t="shared" si="30"/>
        <v>0</v>
      </c>
      <c r="O36" s="3">
        <f t="shared" si="30"/>
        <v>0</v>
      </c>
    </row>
    <row r="37" spans="1:15" ht="37.5">
      <c r="A37" s="8" t="s">
        <v>47</v>
      </c>
      <c r="B37" s="3"/>
      <c r="C37" s="3"/>
      <c r="D37" s="3"/>
      <c r="E37" s="3">
        <v>0</v>
      </c>
      <c r="F37" s="4">
        <v>0</v>
      </c>
      <c r="G37" s="4">
        <v>0</v>
      </c>
      <c r="H37" s="3">
        <f aca="true" t="shared" si="31" ref="H37:O37">G37*1.02</f>
        <v>0</v>
      </c>
      <c r="I37" s="3">
        <f t="shared" si="31"/>
        <v>0</v>
      </c>
      <c r="J37" s="3">
        <f t="shared" si="31"/>
        <v>0</v>
      </c>
      <c r="K37" s="3">
        <f t="shared" si="31"/>
        <v>0</v>
      </c>
      <c r="L37" s="3">
        <f t="shared" si="31"/>
        <v>0</v>
      </c>
      <c r="M37" s="3">
        <f t="shared" si="31"/>
        <v>0</v>
      </c>
      <c r="N37" s="3">
        <f t="shared" si="31"/>
        <v>0</v>
      </c>
      <c r="O37" s="3">
        <f t="shared" si="31"/>
        <v>0</v>
      </c>
    </row>
    <row r="38" spans="1:15" ht="37.5">
      <c r="A38" s="8" t="s">
        <v>48</v>
      </c>
      <c r="B38" s="3">
        <v>121.2</v>
      </c>
      <c r="C38" s="3">
        <v>121.2</v>
      </c>
      <c r="D38" s="3">
        <v>121.2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3">
        <v>5514.4</v>
      </c>
      <c r="C41" s="3">
        <v>5576.5</v>
      </c>
      <c r="D41" s="3">
        <v>5588.1</v>
      </c>
      <c r="E41" s="3">
        <f>SUM(E43:E53)</f>
        <v>4003.8</v>
      </c>
      <c r="F41" s="3">
        <f aca="true" t="shared" si="32" ref="F41:O41">SUM(F43:F53)</f>
        <v>3767.5</v>
      </c>
      <c r="G41" s="3">
        <f t="shared" si="32"/>
        <v>3780.7000000000003</v>
      </c>
      <c r="H41" s="3">
        <f t="shared" si="32"/>
        <v>3856.3</v>
      </c>
      <c r="I41" s="3">
        <f t="shared" si="32"/>
        <v>3933.4</v>
      </c>
      <c r="J41" s="3">
        <f t="shared" si="32"/>
        <v>4012.1000000000004</v>
      </c>
      <c r="K41" s="3">
        <f t="shared" si="32"/>
        <v>4092.3999999999996</v>
      </c>
      <c r="L41" s="3">
        <f t="shared" si="32"/>
        <v>4174.2</v>
      </c>
      <c r="M41" s="3">
        <f t="shared" si="32"/>
        <v>4257.7</v>
      </c>
      <c r="N41" s="3">
        <f t="shared" si="32"/>
        <v>4342.8</v>
      </c>
      <c r="O41" s="3">
        <f t="shared" si="32"/>
        <v>4429.7</v>
      </c>
    </row>
    <row r="42" spans="1:15" ht="18.75">
      <c r="A42" s="8" t="s">
        <v>50</v>
      </c>
      <c r="B42" s="3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8.75">
      <c r="A43" s="8" t="s">
        <v>51</v>
      </c>
      <c r="B43" s="3">
        <v>2433.5</v>
      </c>
      <c r="C43" s="3">
        <v>2440.5</v>
      </c>
      <c r="D43" s="3">
        <v>2440.5</v>
      </c>
      <c r="E43" s="59">
        <v>2473.4</v>
      </c>
      <c r="F43" s="59">
        <v>2303.4</v>
      </c>
      <c r="G43" s="59">
        <v>2303.4</v>
      </c>
      <c r="H43" s="3">
        <f>2515-116.7</f>
        <v>2398.3</v>
      </c>
      <c r="I43" s="3">
        <v>2430</v>
      </c>
      <c r="J43" s="3">
        <v>2450</v>
      </c>
      <c r="K43" s="3">
        <v>2460</v>
      </c>
      <c r="L43" s="3">
        <v>2510</v>
      </c>
      <c r="M43" s="3">
        <v>2580</v>
      </c>
      <c r="N43" s="3">
        <v>2600</v>
      </c>
      <c r="O43" s="3">
        <v>2620</v>
      </c>
    </row>
    <row r="44" spans="1:15" ht="18.75">
      <c r="A44" s="8" t="s">
        <v>52</v>
      </c>
      <c r="B44" s="3"/>
      <c r="C44" s="3"/>
      <c r="D44" s="3"/>
      <c r="E44" s="59"/>
      <c r="F44" s="59"/>
      <c r="G44" s="59"/>
      <c r="H44" s="3"/>
      <c r="I44" s="3"/>
      <c r="J44" s="3"/>
      <c r="K44" s="3"/>
      <c r="L44" s="3"/>
      <c r="M44" s="3"/>
      <c r="N44" s="3"/>
      <c r="O44" s="3"/>
    </row>
    <row r="45" spans="1:15" ht="37.5">
      <c r="A45" s="8" t="s">
        <v>53</v>
      </c>
      <c r="B45" s="3"/>
      <c r="C45" s="3"/>
      <c r="D45" s="3"/>
      <c r="E45" s="59"/>
      <c r="F45" s="66"/>
      <c r="G45" s="66"/>
      <c r="H45" s="4"/>
      <c r="I45" s="4"/>
      <c r="J45" s="4"/>
      <c r="K45" s="4"/>
      <c r="L45" s="4"/>
      <c r="M45" s="4"/>
      <c r="N45" s="4"/>
      <c r="O45" s="4"/>
    </row>
    <row r="46" spans="1:16" ht="18.75">
      <c r="A46" s="8" t="s">
        <v>54</v>
      </c>
      <c r="B46" s="3">
        <v>1494.1</v>
      </c>
      <c r="C46" s="3">
        <v>1547.8</v>
      </c>
      <c r="D46" s="3">
        <v>1550</v>
      </c>
      <c r="E46" s="59"/>
      <c r="F46" s="59"/>
      <c r="G46" s="59"/>
      <c r="H46" s="3"/>
      <c r="I46" s="3"/>
      <c r="J46" s="3"/>
      <c r="K46" s="3"/>
      <c r="L46" s="3"/>
      <c r="M46" s="3"/>
      <c r="N46" s="3"/>
      <c r="O46" s="3"/>
      <c r="P46" s="3"/>
    </row>
    <row r="47" spans="1:15" ht="18.75">
      <c r="A47" s="8" t="s">
        <v>55</v>
      </c>
      <c r="B47" s="3">
        <v>223.7</v>
      </c>
      <c r="C47" s="3">
        <v>230</v>
      </c>
      <c r="D47" s="3">
        <v>240</v>
      </c>
      <c r="E47" s="59">
        <v>135.5</v>
      </c>
      <c r="F47" s="59">
        <v>256.1</v>
      </c>
      <c r="G47" s="59">
        <v>269.3</v>
      </c>
      <c r="H47" s="3">
        <v>250</v>
      </c>
      <c r="I47" s="3">
        <v>260</v>
      </c>
      <c r="J47" s="3">
        <v>260</v>
      </c>
      <c r="K47" s="3">
        <v>260</v>
      </c>
      <c r="L47" s="3">
        <v>270</v>
      </c>
      <c r="M47" s="3">
        <v>270</v>
      </c>
      <c r="N47" s="3">
        <v>280</v>
      </c>
      <c r="O47" s="3">
        <v>290</v>
      </c>
    </row>
    <row r="48" spans="1:15" ht="18.75">
      <c r="A48" s="8" t="s">
        <v>56</v>
      </c>
      <c r="B48" s="3"/>
      <c r="C48" s="3"/>
      <c r="D48" s="3"/>
      <c r="E48" s="59"/>
      <c r="F48" s="66"/>
      <c r="G48" s="66"/>
      <c r="H48" s="4"/>
      <c r="I48" s="4"/>
      <c r="J48" s="4"/>
      <c r="K48" s="4"/>
      <c r="L48" s="4"/>
      <c r="M48" s="4"/>
      <c r="N48" s="4"/>
      <c r="O48" s="4"/>
    </row>
    <row r="49" spans="1:15" ht="18.75">
      <c r="A49" s="8" t="s">
        <v>57</v>
      </c>
      <c r="B49" s="3"/>
      <c r="C49" s="3"/>
      <c r="D49" s="3"/>
      <c r="E49" s="59"/>
      <c r="F49" s="66"/>
      <c r="G49" s="66"/>
      <c r="H49" s="4"/>
      <c r="I49" s="4"/>
      <c r="J49" s="4"/>
      <c r="K49" s="4"/>
      <c r="L49" s="4"/>
      <c r="M49" s="4"/>
      <c r="N49" s="4"/>
      <c r="O49" s="4"/>
    </row>
    <row r="50" spans="1:15" ht="18.75">
      <c r="A50" s="8" t="s">
        <v>58</v>
      </c>
      <c r="B50" s="3">
        <v>1255.1</v>
      </c>
      <c r="C50" s="3">
        <v>1250.2</v>
      </c>
      <c r="D50" s="3">
        <v>1249.6</v>
      </c>
      <c r="E50" s="59">
        <v>1286.9</v>
      </c>
      <c r="F50" s="59">
        <v>1100</v>
      </c>
      <c r="G50" s="59">
        <v>1100</v>
      </c>
      <c r="H50" s="3">
        <v>1100</v>
      </c>
      <c r="I50" s="3">
        <f>1305.7-170.3</f>
        <v>1135.4</v>
      </c>
      <c r="J50" s="3">
        <f>1309.2-115.1</f>
        <v>1194.1000000000001</v>
      </c>
      <c r="K50" s="3">
        <f>1323.3-58.9</f>
        <v>1264.3999999999999</v>
      </c>
      <c r="L50" s="3">
        <f>1337.4-51.2</f>
        <v>1286.2</v>
      </c>
      <c r="M50" s="3">
        <v>1299.7</v>
      </c>
      <c r="N50" s="3">
        <f>1346.2+8.6</f>
        <v>1354.8</v>
      </c>
      <c r="O50" s="3">
        <f>1353.4+58.3</f>
        <v>1411.7</v>
      </c>
    </row>
    <row r="51" spans="1:15" ht="18.75">
      <c r="A51" s="8" t="s">
        <v>59</v>
      </c>
      <c r="B51" s="3"/>
      <c r="C51" s="3"/>
      <c r="D51" s="3"/>
      <c r="E51" s="59"/>
      <c r="F51" s="66"/>
      <c r="G51" s="66"/>
      <c r="H51" s="4"/>
      <c r="I51" s="4"/>
      <c r="J51" s="4"/>
      <c r="K51" s="4"/>
      <c r="L51" s="4"/>
      <c r="M51" s="4"/>
      <c r="N51" s="4"/>
      <c r="O51" s="4"/>
    </row>
    <row r="52" spans="1:15" ht="18.75">
      <c r="A52" s="8" t="s">
        <v>60</v>
      </c>
      <c r="B52" s="3">
        <v>108</v>
      </c>
      <c r="C52" s="3">
        <v>108</v>
      </c>
      <c r="D52" s="3">
        <v>108</v>
      </c>
      <c r="E52" s="59">
        <v>108</v>
      </c>
      <c r="F52" s="59">
        <v>108</v>
      </c>
      <c r="G52" s="59">
        <v>108</v>
      </c>
      <c r="H52" s="3">
        <v>108</v>
      </c>
      <c r="I52" s="3">
        <v>108</v>
      </c>
      <c r="J52" s="3">
        <v>108</v>
      </c>
      <c r="K52" s="3">
        <v>108</v>
      </c>
      <c r="L52" s="3">
        <v>108</v>
      </c>
      <c r="M52" s="3">
        <v>108</v>
      </c>
      <c r="N52" s="3">
        <v>108</v>
      </c>
      <c r="O52" s="3">
        <v>108</v>
      </c>
    </row>
    <row r="53" spans="1:15" ht="18.75">
      <c r="A53" s="8" t="s">
        <v>61</v>
      </c>
      <c r="B53" s="3"/>
      <c r="C53" s="3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>
      <c r="A54" s="8" t="s">
        <v>62</v>
      </c>
      <c r="B54" s="3"/>
      <c r="C54" s="3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37.5">
      <c r="A55" s="8" t="s">
        <v>63</v>
      </c>
      <c r="B55" s="3"/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75">
      <c r="A56" s="8" t="s">
        <v>64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52">
      <selection activeCell="O7" sqref="O7"/>
    </sheetView>
  </sheetViews>
  <sheetFormatPr defaultColWidth="9.140625" defaultRowHeight="15"/>
  <cols>
    <col min="1" max="1" width="44.28125" style="0" customWidth="1"/>
    <col min="2" max="2" width="12.421875" style="0" customWidth="1"/>
    <col min="3" max="4" width="12.7109375" style="0" customWidth="1"/>
    <col min="5" max="5" width="12.421875" style="0" customWidth="1"/>
    <col min="6" max="6" width="12.7109375" style="0" customWidth="1"/>
    <col min="7" max="7" width="13.57421875" style="0" customWidth="1"/>
    <col min="8" max="8" width="13.140625" style="0" customWidth="1"/>
    <col min="9" max="9" width="13.7109375" style="0" customWidth="1"/>
    <col min="10" max="10" width="13.00390625" style="0" customWidth="1"/>
    <col min="11" max="11" width="13.421875" style="0" customWidth="1"/>
    <col min="12" max="12" width="13.7109375" style="0" customWidth="1"/>
  </cols>
  <sheetData>
    <row r="1" spans="1:12" ht="23.25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8.75">
      <c r="A2" s="1" t="s">
        <v>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3</v>
      </c>
    </row>
    <row r="3" spans="1:12" ht="75">
      <c r="A3" s="2" t="s">
        <v>4</v>
      </c>
      <c r="B3" s="15">
        <f aca="true" t="shared" si="0" ref="B3:L3">B4+B7</f>
        <v>3919.5</v>
      </c>
      <c r="C3" s="15">
        <f t="shared" si="0"/>
        <v>3770.9</v>
      </c>
      <c r="D3" s="15">
        <f t="shared" si="0"/>
        <v>3770.9</v>
      </c>
      <c r="E3" s="14">
        <f t="shared" si="0"/>
        <v>3846.318</v>
      </c>
      <c r="F3" s="14">
        <f t="shared" si="0"/>
        <v>3923.24436</v>
      </c>
      <c r="G3" s="14">
        <f t="shared" si="0"/>
        <v>4001.7092472</v>
      </c>
      <c r="H3" s="14">
        <f t="shared" si="0"/>
        <v>4081.743432144</v>
      </c>
      <c r="I3" s="14">
        <f t="shared" si="0"/>
        <v>4163.378300786881</v>
      </c>
      <c r="J3" s="14">
        <f t="shared" si="0"/>
        <v>4246.645866802618</v>
      </c>
      <c r="K3" s="14">
        <f t="shared" si="0"/>
        <v>4331.578784138671</v>
      </c>
      <c r="L3" s="14">
        <f t="shared" si="0"/>
        <v>4418.210359821444</v>
      </c>
    </row>
    <row r="4" spans="1:12" ht="18.75">
      <c r="A4" s="3" t="s">
        <v>5</v>
      </c>
      <c r="B4" s="15">
        <f aca="true" t="shared" si="1" ref="B4:L4">B5+B6</f>
        <v>347.6</v>
      </c>
      <c r="C4" s="15">
        <f t="shared" si="1"/>
        <v>357.4</v>
      </c>
      <c r="D4" s="15">
        <f t="shared" si="1"/>
        <v>357.4</v>
      </c>
      <c r="E4" s="14">
        <f t="shared" si="1"/>
        <v>364.548</v>
      </c>
      <c r="F4" s="14">
        <f t="shared" si="1"/>
        <v>371.83896</v>
      </c>
      <c r="G4" s="14">
        <f t="shared" si="1"/>
        <v>379.27573920000003</v>
      </c>
      <c r="H4" s="14">
        <f t="shared" si="1"/>
        <v>386.8612539840001</v>
      </c>
      <c r="I4" s="14">
        <f t="shared" si="1"/>
        <v>394.5984790636801</v>
      </c>
      <c r="J4" s="14">
        <f t="shared" si="1"/>
        <v>402.4904486449537</v>
      </c>
      <c r="K4" s="14">
        <f t="shared" si="1"/>
        <v>410.5402576178527</v>
      </c>
      <c r="L4" s="14">
        <f t="shared" si="1"/>
        <v>418.7510627702098</v>
      </c>
    </row>
    <row r="5" spans="1:12" ht="18.75">
      <c r="A5" s="5" t="s">
        <v>6</v>
      </c>
      <c r="B5" s="15">
        <f aca="true" t="shared" si="2" ref="B5:L5">B15</f>
        <v>335.6</v>
      </c>
      <c r="C5" s="15">
        <f t="shared" si="2"/>
        <v>345.4</v>
      </c>
      <c r="D5" s="15">
        <f t="shared" si="2"/>
        <v>345.4</v>
      </c>
      <c r="E5" s="14">
        <f t="shared" si="2"/>
        <v>352.308</v>
      </c>
      <c r="F5" s="14">
        <f t="shared" si="2"/>
        <v>359.35416</v>
      </c>
      <c r="G5" s="14">
        <f t="shared" si="2"/>
        <v>366.54124320000005</v>
      </c>
      <c r="H5" s="14">
        <f t="shared" si="2"/>
        <v>373.8720680640001</v>
      </c>
      <c r="I5" s="14">
        <f t="shared" si="2"/>
        <v>381.3495094252801</v>
      </c>
      <c r="J5" s="14">
        <f t="shared" si="2"/>
        <v>388.9764996137857</v>
      </c>
      <c r="K5" s="14">
        <f t="shared" si="2"/>
        <v>396.75602960606136</v>
      </c>
      <c r="L5" s="14">
        <f t="shared" si="2"/>
        <v>404.6911501981826</v>
      </c>
    </row>
    <row r="6" spans="1:12" ht="18.75">
      <c r="A6" s="5" t="s">
        <v>7</v>
      </c>
      <c r="B6" s="15">
        <f aca="true" t="shared" si="3" ref="B6:L6">B26</f>
        <v>12</v>
      </c>
      <c r="C6" s="15">
        <f t="shared" si="3"/>
        <v>12</v>
      </c>
      <c r="D6" s="15">
        <f t="shared" si="3"/>
        <v>12</v>
      </c>
      <c r="E6" s="14">
        <f t="shared" si="3"/>
        <v>12.24</v>
      </c>
      <c r="F6" s="14">
        <f t="shared" si="3"/>
        <v>12.4848</v>
      </c>
      <c r="G6" s="14">
        <f t="shared" si="3"/>
        <v>12.734496</v>
      </c>
      <c r="H6" s="14">
        <f t="shared" si="3"/>
        <v>12.98918592</v>
      </c>
      <c r="I6" s="14">
        <f t="shared" si="3"/>
        <v>13.2489696384</v>
      </c>
      <c r="J6" s="14">
        <f t="shared" si="3"/>
        <v>13.513949031168</v>
      </c>
      <c r="K6" s="14">
        <f t="shared" si="3"/>
        <v>13.78422801179136</v>
      </c>
      <c r="L6" s="14">
        <f t="shared" si="3"/>
        <v>14.059912572027187</v>
      </c>
    </row>
    <row r="7" spans="1:12" ht="75">
      <c r="A7" s="3" t="s">
        <v>8</v>
      </c>
      <c r="B7" s="15">
        <f aca="true" t="shared" si="4" ref="B7:L7">B34</f>
        <v>3571.9</v>
      </c>
      <c r="C7" s="15">
        <f t="shared" si="4"/>
        <v>3413.5</v>
      </c>
      <c r="D7" s="15">
        <f t="shared" si="4"/>
        <v>3413.5</v>
      </c>
      <c r="E7" s="14">
        <f t="shared" si="4"/>
        <v>3481.77</v>
      </c>
      <c r="F7" s="14">
        <f t="shared" si="4"/>
        <v>3551.4054</v>
      </c>
      <c r="G7" s="14">
        <f t="shared" si="4"/>
        <v>3622.433508</v>
      </c>
      <c r="H7" s="14">
        <f t="shared" si="4"/>
        <v>3694.88217816</v>
      </c>
      <c r="I7" s="14">
        <f t="shared" si="4"/>
        <v>3768.7798217232003</v>
      </c>
      <c r="J7" s="14">
        <f t="shared" si="4"/>
        <v>3844.1554181576644</v>
      </c>
      <c r="K7" s="14">
        <f t="shared" si="4"/>
        <v>3921.038526520818</v>
      </c>
      <c r="L7" s="14">
        <f t="shared" si="4"/>
        <v>3999.4592970512344</v>
      </c>
    </row>
    <row r="8" spans="1:12" ht="93.75">
      <c r="A8" s="2" t="s">
        <v>9</v>
      </c>
      <c r="B8" s="15">
        <f>B41</f>
        <v>3919.5</v>
      </c>
      <c r="C8" s="15">
        <f aca="true" t="shared" si="5" ref="C8:L8">C41</f>
        <v>3770.9</v>
      </c>
      <c r="D8" s="15">
        <f t="shared" si="5"/>
        <v>3770.9</v>
      </c>
      <c r="E8" s="14">
        <f t="shared" si="5"/>
        <v>3846.3</v>
      </c>
      <c r="F8" s="14">
        <f t="shared" si="5"/>
        <v>3923.2</v>
      </c>
      <c r="G8" s="14">
        <f t="shared" si="5"/>
        <v>4001.7</v>
      </c>
      <c r="H8" s="14">
        <f t="shared" si="5"/>
        <v>4081.7</v>
      </c>
      <c r="I8" s="14">
        <f t="shared" si="5"/>
        <v>4163.4</v>
      </c>
      <c r="J8" s="14">
        <f t="shared" si="5"/>
        <v>4246.6</v>
      </c>
      <c r="K8" s="14">
        <f t="shared" si="5"/>
        <v>4331.6</v>
      </c>
      <c r="L8" s="14">
        <f t="shared" si="5"/>
        <v>4418.2</v>
      </c>
    </row>
    <row r="9" spans="1:12" s="55" customFormat="1" ht="18.75">
      <c r="A9" s="53" t="s">
        <v>10</v>
      </c>
      <c r="B9" s="56">
        <f>B3-B8</f>
        <v>0</v>
      </c>
      <c r="C9" s="56">
        <f aca="true" t="shared" si="6" ref="C9:L9">C3-C8</f>
        <v>0</v>
      </c>
      <c r="D9" s="56">
        <f t="shared" si="6"/>
        <v>0</v>
      </c>
      <c r="E9" s="68">
        <f t="shared" si="6"/>
        <v>0.018000000000029104</v>
      </c>
      <c r="F9" s="68">
        <f t="shared" si="6"/>
        <v>0.04436000000032436</v>
      </c>
      <c r="G9" s="68">
        <f t="shared" si="6"/>
        <v>0.009247200000118028</v>
      </c>
      <c r="H9" s="68">
        <f t="shared" si="6"/>
        <v>0.043432144000234985</v>
      </c>
      <c r="I9" s="68">
        <f t="shared" si="6"/>
        <v>-0.021699213119063643</v>
      </c>
      <c r="J9" s="68">
        <f t="shared" si="6"/>
        <v>0.045866802617638314</v>
      </c>
      <c r="K9" s="68">
        <f t="shared" si="6"/>
        <v>-0.021215861329437757</v>
      </c>
      <c r="L9" s="68">
        <f t="shared" si="6"/>
        <v>0.01035982144458103</v>
      </c>
    </row>
    <row r="10" spans="1:12" ht="18.75">
      <c r="A10" s="2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2:12" ht="1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8.75">
      <c r="A12" s="1" t="s">
        <v>0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3</v>
      </c>
    </row>
    <row r="13" spans="1:12" ht="75">
      <c r="A13" s="6" t="s">
        <v>23</v>
      </c>
      <c r="B13" s="15">
        <f>B14+B34</f>
        <v>3919.5</v>
      </c>
      <c r="C13" s="14">
        <f aca="true" t="shared" si="7" ref="C13:L13">C14+C34</f>
        <v>3770.9</v>
      </c>
      <c r="D13" s="14">
        <f t="shared" si="7"/>
        <v>3770.9</v>
      </c>
      <c r="E13" s="14">
        <f t="shared" si="7"/>
        <v>3846.318</v>
      </c>
      <c r="F13" s="14">
        <f t="shared" si="7"/>
        <v>3923.24436</v>
      </c>
      <c r="G13" s="14">
        <f t="shared" si="7"/>
        <v>4001.7092472</v>
      </c>
      <c r="H13" s="14">
        <f t="shared" si="7"/>
        <v>4081.743432144</v>
      </c>
      <c r="I13" s="14">
        <f t="shared" si="7"/>
        <v>4163.378300786881</v>
      </c>
      <c r="J13" s="14">
        <f t="shared" si="7"/>
        <v>4246.645866802618</v>
      </c>
      <c r="K13" s="14">
        <f t="shared" si="7"/>
        <v>4331.578784138671</v>
      </c>
      <c r="L13" s="14">
        <f t="shared" si="7"/>
        <v>4418.210359821444</v>
      </c>
    </row>
    <row r="14" spans="1:12" ht="37.5">
      <c r="A14" s="6" t="s">
        <v>24</v>
      </c>
      <c r="B14" s="15">
        <f>B15+B26</f>
        <v>347.6</v>
      </c>
      <c r="C14" s="15">
        <f aca="true" t="shared" si="8" ref="C14:L14">C15+C26</f>
        <v>357.4</v>
      </c>
      <c r="D14" s="15">
        <f t="shared" si="8"/>
        <v>357.4</v>
      </c>
      <c r="E14" s="14">
        <f t="shared" si="8"/>
        <v>364.548</v>
      </c>
      <c r="F14" s="14">
        <f t="shared" si="8"/>
        <v>371.83896</v>
      </c>
      <c r="G14" s="14">
        <f t="shared" si="8"/>
        <v>379.27573920000003</v>
      </c>
      <c r="H14" s="14">
        <f t="shared" si="8"/>
        <v>386.8612539840001</v>
      </c>
      <c r="I14" s="14">
        <f t="shared" si="8"/>
        <v>394.5984790636801</v>
      </c>
      <c r="J14" s="14">
        <f t="shared" si="8"/>
        <v>402.4904486449537</v>
      </c>
      <c r="K14" s="14">
        <f t="shared" si="8"/>
        <v>410.5402576178527</v>
      </c>
      <c r="L14" s="14">
        <f t="shared" si="8"/>
        <v>418.7510627702098</v>
      </c>
    </row>
    <row r="15" spans="1:12" ht="19.5">
      <c r="A15" s="7" t="s">
        <v>25</v>
      </c>
      <c r="B15" s="15">
        <f aca="true" t="shared" si="9" ref="B15:L15">SUM(B16:B25)</f>
        <v>335.6</v>
      </c>
      <c r="C15" s="14">
        <f t="shared" si="9"/>
        <v>345.4</v>
      </c>
      <c r="D15" s="14">
        <f t="shared" si="9"/>
        <v>345.4</v>
      </c>
      <c r="E15" s="14">
        <f t="shared" si="9"/>
        <v>352.308</v>
      </c>
      <c r="F15" s="14">
        <f t="shared" si="9"/>
        <v>359.35416</v>
      </c>
      <c r="G15" s="14">
        <f t="shared" si="9"/>
        <v>366.54124320000005</v>
      </c>
      <c r="H15" s="14">
        <f t="shared" si="9"/>
        <v>373.8720680640001</v>
      </c>
      <c r="I15" s="14">
        <f t="shared" si="9"/>
        <v>381.3495094252801</v>
      </c>
      <c r="J15" s="14">
        <f t="shared" si="9"/>
        <v>388.9764996137857</v>
      </c>
      <c r="K15" s="14">
        <f t="shared" si="9"/>
        <v>396.75602960606136</v>
      </c>
      <c r="L15" s="14">
        <f t="shared" si="9"/>
        <v>404.6911501981826</v>
      </c>
    </row>
    <row r="16" spans="1:12" ht="18.75">
      <c r="A16" s="8" t="s">
        <v>26</v>
      </c>
      <c r="B16" s="15">
        <v>160.4</v>
      </c>
      <c r="C16" s="15">
        <v>168.5</v>
      </c>
      <c r="D16" s="15">
        <v>168.5</v>
      </c>
      <c r="E16" s="14">
        <f aca="true" t="shared" si="10" ref="E16:L16">D16*1.02</f>
        <v>171.87</v>
      </c>
      <c r="F16" s="14">
        <f t="shared" si="10"/>
        <v>175.3074</v>
      </c>
      <c r="G16" s="14">
        <f t="shared" si="10"/>
        <v>178.813548</v>
      </c>
      <c r="H16" s="14">
        <f t="shared" si="10"/>
        <v>182.38981896</v>
      </c>
      <c r="I16" s="14">
        <f t="shared" si="10"/>
        <v>186.03761533920002</v>
      </c>
      <c r="J16" s="14">
        <f t="shared" si="10"/>
        <v>189.758367645984</v>
      </c>
      <c r="K16" s="14">
        <f t="shared" si="10"/>
        <v>193.5535349989037</v>
      </c>
      <c r="L16" s="14">
        <f t="shared" si="10"/>
        <v>197.42460569888178</v>
      </c>
    </row>
    <row r="17" spans="1:12" ht="56.25">
      <c r="A17" s="8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7.5">
      <c r="A18" s="8" t="s">
        <v>28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37.5">
      <c r="A19" s="8" t="s">
        <v>29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56.25">
      <c r="A20" s="8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37.5">
      <c r="A21" s="8" t="s">
        <v>31</v>
      </c>
      <c r="B21" s="15">
        <v>27.1</v>
      </c>
      <c r="C21" s="15">
        <v>28.6</v>
      </c>
      <c r="D21" s="15">
        <v>28.6</v>
      </c>
      <c r="E21" s="14">
        <f aca="true" t="shared" si="11" ref="E21:L21">D21*1.02</f>
        <v>29.172</v>
      </c>
      <c r="F21" s="14">
        <f t="shared" si="11"/>
        <v>29.75544</v>
      </c>
      <c r="G21" s="14">
        <f t="shared" si="11"/>
        <v>30.350548800000002</v>
      </c>
      <c r="H21" s="14">
        <f t="shared" si="11"/>
        <v>30.957559776000004</v>
      </c>
      <c r="I21" s="14">
        <f t="shared" si="11"/>
        <v>31.576710971520004</v>
      </c>
      <c r="J21" s="14">
        <f t="shared" si="11"/>
        <v>32.20824519095041</v>
      </c>
      <c r="K21" s="14">
        <f t="shared" si="11"/>
        <v>32.85241009476942</v>
      </c>
      <c r="L21" s="14">
        <f t="shared" si="11"/>
        <v>33.50945829666481</v>
      </c>
    </row>
    <row r="22" spans="1:12" ht="18.75">
      <c r="A22" s="8" t="s">
        <v>32</v>
      </c>
      <c r="B22" s="15">
        <v>147.1</v>
      </c>
      <c r="C22" s="15">
        <v>147.3</v>
      </c>
      <c r="D22" s="15">
        <v>147.3</v>
      </c>
      <c r="E22" s="14">
        <f aca="true" t="shared" si="12" ref="E22:L22">D22*1.02</f>
        <v>150.246</v>
      </c>
      <c r="F22" s="14">
        <f t="shared" si="12"/>
        <v>153.25092</v>
      </c>
      <c r="G22" s="14">
        <f t="shared" si="12"/>
        <v>156.31593840000002</v>
      </c>
      <c r="H22" s="14">
        <f t="shared" si="12"/>
        <v>159.44225716800003</v>
      </c>
      <c r="I22" s="14">
        <f t="shared" si="12"/>
        <v>162.63110231136002</v>
      </c>
      <c r="J22" s="14">
        <f t="shared" si="12"/>
        <v>165.88372435758723</v>
      </c>
      <c r="K22" s="14">
        <f t="shared" si="12"/>
        <v>169.20139884473897</v>
      </c>
      <c r="L22" s="14">
        <f t="shared" si="12"/>
        <v>172.58542682163375</v>
      </c>
    </row>
    <row r="23" spans="1:12" ht="56.25">
      <c r="A23" s="8" t="s">
        <v>33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>
      <c r="A24" s="8" t="s">
        <v>34</v>
      </c>
      <c r="B24" s="15">
        <v>1</v>
      </c>
      <c r="C24" s="15">
        <v>1</v>
      </c>
      <c r="D24" s="15">
        <v>1</v>
      </c>
      <c r="E24" s="14">
        <f aca="true" t="shared" si="13" ref="E24:L24">D24*1.02</f>
        <v>1.02</v>
      </c>
      <c r="F24" s="14">
        <f t="shared" si="13"/>
        <v>1.0404</v>
      </c>
      <c r="G24" s="14">
        <f t="shared" si="13"/>
        <v>1.061208</v>
      </c>
      <c r="H24" s="14">
        <f t="shared" si="13"/>
        <v>1.08243216</v>
      </c>
      <c r="I24" s="14">
        <f t="shared" si="13"/>
        <v>1.1040808032</v>
      </c>
      <c r="J24" s="14">
        <f t="shared" si="13"/>
        <v>1.126162419264</v>
      </c>
      <c r="K24" s="14">
        <f t="shared" si="13"/>
        <v>1.14868566764928</v>
      </c>
      <c r="L24" s="14">
        <f t="shared" si="13"/>
        <v>1.1716593810022657</v>
      </c>
    </row>
    <row r="25" spans="1:12" ht="56.25">
      <c r="A25" s="8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9.5">
      <c r="A26" s="7" t="s">
        <v>36</v>
      </c>
      <c r="B26" s="15">
        <f>SUM(B27:B29)</f>
        <v>12</v>
      </c>
      <c r="C26" s="15">
        <f>SUM(C27:C29)</f>
        <v>12</v>
      </c>
      <c r="D26" s="15">
        <f>SUM(D27:D29)</f>
        <v>12</v>
      </c>
      <c r="E26" s="14">
        <f aca="true" t="shared" si="14" ref="E26:L26">D26*1.02</f>
        <v>12.24</v>
      </c>
      <c r="F26" s="14">
        <f t="shared" si="14"/>
        <v>12.4848</v>
      </c>
      <c r="G26" s="14">
        <f t="shared" si="14"/>
        <v>12.734496</v>
      </c>
      <c r="H26" s="14">
        <f t="shared" si="14"/>
        <v>12.98918592</v>
      </c>
      <c r="I26" s="14">
        <f t="shared" si="14"/>
        <v>13.2489696384</v>
      </c>
      <c r="J26" s="14">
        <f t="shared" si="14"/>
        <v>13.513949031168</v>
      </c>
      <c r="K26" s="14">
        <f t="shared" si="14"/>
        <v>13.78422801179136</v>
      </c>
      <c r="L26" s="14">
        <f t="shared" si="14"/>
        <v>14.059912572027187</v>
      </c>
    </row>
    <row r="27" spans="1:12" ht="75">
      <c r="A27" s="8" t="s">
        <v>37</v>
      </c>
      <c r="B27" s="15"/>
      <c r="C27" s="15"/>
      <c r="D27" s="15"/>
      <c r="E27" s="14">
        <f aca="true" t="shared" si="15" ref="E27:L27">D27*1.02</f>
        <v>0</v>
      </c>
      <c r="F27" s="14">
        <f t="shared" si="15"/>
        <v>0</v>
      </c>
      <c r="G27" s="14">
        <f t="shared" si="15"/>
        <v>0</v>
      </c>
      <c r="H27" s="14">
        <f t="shared" si="15"/>
        <v>0</v>
      </c>
      <c r="I27" s="14">
        <f t="shared" si="15"/>
        <v>0</v>
      </c>
      <c r="J27" s="14">
        <f t="shared" si="15"/>
        <v>0</v>
      </c>
      <c r="K27" s="14">
        <f t="shared" si="15"/>
        <v>0</v>
      </c>
      <c r="L27" s="14">
        <f t="shared" si="15"/>
        <v>0</v>
      </c>
    </row>
    <row r="28" spans="1:12" ht="37.5">
      <c r="A28" s="8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56.25">
      <c r="A29" s="8" t="s">
        <v>39</v>
      </c>
      <c r="B29" s="15">
        <v>12</v>
      </c>
      <c r="C29" s="15">
        <v>12</v>
      </c>
      <c r="D29" s="15">
        <v>12</v>
      </c>
      <c r="E29" s="14">
        <f aca="true" t="shared" si="16" ref="E29:L29">D29*1.02</f>
        <v>12.24</v>
      </c>
      <c r="F29" s="14">
        <f t="shared" si="16"/>
        <v>12.4848</v>
      </c>
      <c r="G29" s="14">
        <f t="shared" si="16"/>
        <v>12.734496</v>
      </c>
      <c r="H29" s="14">
        <f t="shared" si="16"/>
        <v>12.98918592</v>
      </c>
      <c r="I29" s="14">
        <f t="shared" si="16"/>
        <v>13.2489696384</v>
      </c>
      <c r="J29" s="14">
        <f t="shared" si="16"/>
        <v>13.513949031168</v>
      </c>
      <c r="K29" s="14">
        <f t="shared" si="16"/>
        <v>13.78422801179136</v>
      </c>
      <c r="L29" s="14">
        <f t="shared" si="16"/>
        <v>14.059912572027187</v>
      </c>
    </row>
    <row r="30" spans="1:12" ht="37.5">
      <c r="A30" s="8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37.5">
      <c r="A31" s="8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37.5">
      <c r="A32" s="8" t="s">
        <v>42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.75">
      <c r="A33" s="8" t="s">
        <v>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75">
      <c r="A34" s="6" t="s">
        <v>44</v>
      </c>
      <c r="B34" s="15">
        <f aca="true" t="shared" si="17" ref="B34:L34">SUM(B35:B38)</f>
        <v>3571.9</v>
      </c>
      <c r="C34" s="15">
        <f t="shared" si="17"/>
        <v>3413.5</v>
      </c>
      <c r="D34" s="15">
        <f t="shared" si="17"/>
        <v>3413.5</v>
      </c>
      <c r="E34" s="14">
        <f t="shared" si="17"/>
        <v>3481.77</v>
      </c>
      <c r="F34" s="14">
        <f t="shared" si="17"/>
        <v>3551.4054</v>
      </c>
      <c r="G34" s="14">
        <f t="shared" si="17"/>
        <v>3622.433508</v>
      </c>
      <c r="H34" s="14">
        <f t="shared" si="17"/>
        <v>3694.88217816</v>
      </c>
      <c r="I34" s="14">
        <f t="shared" si="17"/>
        <v>3768.7798217232003</v>
      </c>
      <c r="J34" s="14">
        <f t="shared" si="17"/>
        <v>3844.1554181576644</v>
      </c>
      <c r="K34" s="14">
        <f t="shared" si="17"/>
        <v>3921.038526520818</v>
      </c>
      <c r="L34" s="14">
        <f t="shared" si="17"/>
        <v>3999.4592970512344</v>
      </c>
    </row>
    <row r="35" spans="1:12" ht="18.75">
      <c r="A35" s="8" t="s">
        <v>45</v>
      </c>
      <c r="B35" s="15">
        <v>3571.9</v>
      </c>
      <c r="C35" s="15">
        <v>3413.5</v>
      </c>
      <c r="D35" s="15">
        <v>3413.5</v>
      </c>
      <c r="E35" s="15">
        <f>D35*1.02</f>
        <v>3481.77</v>
      </c>
      <c r="F35" s="14">
        <f aca="true" t="shared" si="18" ref="F35:L35">E35*1.02</f>
        <v>3551.4054</v>
      </c>
      <c r="G35" s="14">
        <f t="shared" si="18"/>
        <v>3622.433508</v>
      </c>
      <c r="H35" s="14">
        <f t="shared" si="18"/>
        <v>3694.88217816</v>
      </c>
      <c r="I35" s="14">
        <f t="shared" si="18"/>
        <v>3768.7798217232003</v>
      </c>
      <c r="J35" s="14">
        <f t="shared" si="18"/>
        <v>3844.1554181576644</v>
      </c>
      <c r="K35" s="14">
        <f t="shared" si="18"/>
        <v>3921.038526520818</v>
      </c>
      <c r="L35" s="14">
        <f t="shared" si="18"/>
        <v>3999.4592970512344</v>
      </c>
    </row>
    <row r="36" spans="1:12" ht="56.25">
      <c r="A36" s="8" t="s">
        <v>46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37.5">
      <c r="A37" s="8" t="s">
        <v>47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37.5">
      <c r="A38" s="8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40" spans="1:12" ht="18.75">
      <c r="A40" s="1" t="s">
        <v>0</v>
      </c>
      <c r="B40" s="1" t="s">
        <v>13</v>
      </c>
      <c r="C40" s="1" t="s">
        <v>14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19</v>
      </c>
      <c r="I40" s="1" t="s">
        <v>20</v>
      </c>
      <c r="J40" s="1" t="s">
        <v>21</v>
      </c>
      <c r="K40" s="1" t="s">
        <v>22</v>
      </c>
      <c r="L40" s="1" t="s">
        <v>3</v>
      </c>
    </row>
    <row r="41" spans="1:12" ht="93.75">
      <c r="A41" s="6" t="s">
        <v>49</v>
      </c>
      <c r="B41" s="3">
        <f>SUM(B43:B53)</f>
        <v>3919.5</v>
      </c>
      <c r="C41" s="3">
        <f aca="true" t="shared" si="19" ref="C41:L41">SUM(C43:C53)</f>
        <v>3770.9</v>
      </c>
      <c r="D41" s="3">
        <f>SUM(D43:D53)</f>
        <v>3770.9</v>
      </c>
      <c r="E41" s="3">
        <f t="shared" si="19"/>
        <v>3846.3</v>
      </c>
      <c r="F41" s="3">
        <f t="shared" si="19"/>
        <v>3923.2</v>
      </c>
      <c r="G41" s="3">
        <f t="shared" si="19"/>
        <v>4001.7</v>
      </c>
      <c r="H41" s="3">
        <f t="shared" si="19"/>
        <v>4081.7</v>
      </c>
      <c r="I41" s="3">
        <f t="shared" si="19"/>
        <v>4163.4</v>
      </c>
      <c r="J41" s="3">
        <f t="shared" si="19"/>
        <v>4246.6</v>
      </c>
      <c r="K41" s="3">
        <f t="shared" si="19"/>
        <v>4331.6</v>
      </c>
      <c r="L41" s="3">
        <f t="shared" si="19"/>
        <v>4418.2</v>
      </c>
    </row>
    <row r="42" spans="1:12" ht="18.75">
      <c r="A42" s="8" t="s">
        <v>50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>
      <c r="A43" s="8" t="s">
        <v>51</v>
      </c>
      <c r="B43" s="59">
        <v>2161</v>
      </c>
      <c r="C43" s="59">
        <v>1991</v>
      </c>
      <c r="D43" s="59">
        <v>1991</v>
      </c>
      <c r="E43" s="3">
        <f>2560.6-639.3+70</f>
        <v>1991.3</v>
      </c>
      <c r="F43" s="3">
        <f>2570.6-527.4</f>
        <v>2043.1999999999998</v>
      </c>
      <c r="G43" s="3">
        <f>2575.6-478.9</f>
        <v>2096.7</v>
      </c>
      <c r="H43" s="3">
        <f>2580.6-403.9</f>
        <v>2176.7</v>
      </c>
      <c r="I43" s="3">
        <f>2600.6-392.2</f>
        <v>2208.4</v>
      </c>
      <c r="J43" s="3">
        <f>2620.6-299-30</f>
        <v>2291.6</v>
      </c>
      <c r="K43" s="3">
        <f>2640.6-264</f>
        <v>2376.6</v>
      </c>
      <c r="L43" s="3">
        <f>2660-196.8</f>
        <v>2463.2</v>
      </c>
    </row>
    <row r="44" spans="1:12" ht="18.75">
      <c r="A44" s="8" t="s">
        <v>52</v>
      </c>
      <c r="B44" s="59"/>
      <c r="C44" s="59"/>
      <c r="D44" s="59"/>
      <c r="E44" s="3"/>
      <c r="F44" s="3"/>
      <c r="G44" s="3"/>
      <c r="H44" s="3"/>
      <c r="I44" s="3"/>
      <c r="J44" s="3"/>
      <c r="K44" s="3"/>
      <c r="L44" s="3"/>
    </row>
    <row r="45" spans="1:12" ht="37.5">
      <c r="A45" s="8" t="s">
        <v>53</v>
      </c>
      <c r="B45" s="59"/>
      <c r="C45" s="59"/>
      <c r="D45" s="59"/>
      <c r="E45" s="3"/>
      <c r="F45" s="3"/>
      <c r="G45" s="3"/>
      <c r="H45" s="3"/>
      <c r="I45" s="3"/>
      <c r="J45" s="3"/>
      <c r="K45" s="3"/>
      <c r="L45" s="3"/>
    </row>
    <row r="46" spans="1:12" ht="18.75">
      <c r="A46" s="8" t="s">
        <v>54</v>
      </c>
      <c r="B46" s="59"/>
      <c r="C46" s="59"/>
      <c r="D46" s="59"/>
      <c r="E46" s="3"/>
      <c r="F46" s="3"/>
      <c r="G46" s="3"/>
      <c r="H46" s="3"/>
      <c r="I46" s="3"/>
      <c r="J46" s="3"/>
      <c r="K46" s="3"/>
      <c r="L46" s="3"/>
    </row>
    <row r="47" spans="1:12" ht="18.75">
      <c r="A47" s="8" t="s">
        <v>55</v>
      </c>
      <c r="B47" s="59">
        <v>798.5</v>
      </c>
      <c r="C47" s="59">
        <v>819.9</v>
      </c>
      <c r="D47" s="59">
        <v>819.9</v>
      </c>
      <c r="E47" s="3">
        <v>900</v>
      </c>
      <c r="F47" s="3">
        <v>925</v>
      </c>
      <c r="G47" s="3">
        <v>950</v>
      </c>
      <c r="H47" s="3">
        <v>950</v>
      </c>
      <c r="I47" s="3">
        <v>1000</v>
      </c>
      <c r="J47" s="3">
        <v>1000</v>
      </c>
      <c r="K47" s="3">
        <v>1000</v>
      </c>
      <c r="L47" s="3">
        <v>1000</v>
      </c>
    </row>
    <row r="48" spans="1:12" ht="18.75">
      <c r="A48" s="8" t="s">
        <v>56</v>
      </c>
      <c r="B48" s="59"/>
      <c r="C48" s="59"/>
      <c r="D48" s="59"/>
      <c r="E48" s="3"/>
      <c r="F48" s="3"/>
      <c r="G48" s="3"/>
      <c r="H48" s="3"/>
      <c r="I48" s="3"/>
      <c r="J48" s="3"/>
      <c r="K48" s="3"/>
      <c r="L48" s="3"/>
    </row>
    <row r="49" spans="1:12" ht="18.75">
      <c r="A49" s="8" t="s">
        <v>57</v>
      </c>
      <c r="B49" s="59"/>
      <c r="C49" s="59"/>
      <c r="D49" s="59"/>
      <c r="E49" s="3"/>
      <c r="F49" s="3"/>
      <c r="G49" s="3"/>
      <c r="H49" s="3"/>
      <c r="I49" s="3"/>
      <c r="J49" s="3"/>
      <c r="K49" s="3"/>
      <c r="L49" s="3"/>
    </row>
    <row r="50" spans="1:12" ht="18.75">
      <c r="A50" s="8" t="s">
        <v>58</v>
      </c>
      <c r="B50" s="59">
        <v>950</v>
      </c>
      <c r="C50" s="59">
        <v>950</v>
      </c>
      <c r="D50" s="59">
        <v>950</v>
      </c>
      <c r="E50" s="3">
        <v>950</v>
      </c>
      <c r="F50" s="3">
        <v>950</v>
      </c>
      <c r="G50" s="3">
        <v>950</v>
      </c>
      <c r="H50" s="3">
        <v>950</v>
      </c>
      <c r="I50" s="3">
        <v>950</v>
      </c>
      <c r="J50" s="3">
        <v>950</v>
      </c>
      <c r="K50" s="3">
        <v>950</v>
      </c>
      <c r="L50" s="3">
        <v>950</v>
      </c>
    </row>
    <row r="51" spans="1:12" ht="18.75">
      <c r="A51" s="8" t="s">
        <v>59</v>
      </c>
      <c r="B51" s="59"/>
      <c r="C51" s="59"/>
      <c r="D51" s="59"/>
      <c r="E51" s="3"/>
      <c r="F51" s="3"/>
      <c r="G51" s="3"/>
      <c r="H51" s="3"/>
      <c r="I51" s="3"/>
      <c r="J51" s="3"/>
      <c r="K51" s="3"/>
      <c r="L51" s="3"/>
    </row>
    <row r="52" spans="1:12" ht="18.75">
      <c r="A52" s="8" t="s">
        <v>60</v>
      </c>
      <c r="B52" s="59"/>
      <c r="C52" s="59"/>
      <c r="D52" s="59"/>
      <c r="E52" s="3"/>
      <c r="F52" s="3"/>
      <c r="G52" s="3"/>
      <c r="H52" s="3"/>
      <c r="I52" s="3"/>
      <c r="J52" s="3"/>
      <c r="K52" s="3"/>
      <c r="L52" s="3"/>
    </row>
    <row r="53" spans="1:12" ht="18.75">
      <c r="A53" s="8" t="s">
        <v>61</v>
      </c>
      <c r="B53" s="59">
        <v>10</v>
      </c>
      <c r="C53" s="59">
        <v>10</v>
      </c>
      <c r="D53" s="59">
        <v>10</v>
      </c>
      <c r="E53" s="3">
        <v>5</v>
      </c>
      <c r="F53" s="3">
        <v>5</v>
      </c>
      <c r="G53" s="3">
        <v>5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</row>
    <row r="54" spans="1:12" ht="18.75">
      <c r="A54" s="8" t="s">
        <v>62</v>
      </c>
      <c r="B54" s="59"/>
      <c r="C54" s="59"/>
      <c r="D54" s="59"/>
      <c r="E54" s="3"/>
      <c r="F54" s="3"/>
      <c r="G54" s="3"/>
      <c r="H54" s="3"/>
      <c r="I54" s="3"/>
      <c r="J54" s="3"/>
      <c r="K54" s="3"/>
      <c r="L54" s="3"/>
    </row>
    <row r="55" spans="1:12" ht="37.5">
      <c r="A55" s="8" t="s">
        <v>63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75">
      <c r="A56" s="8" t="s">
        <v>64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spans="1:12" ht="18.75">
      <c r="A58" s="1" t="s">
        <v>0</v>
      </c>
      <c r="B58" s="1" t="s">
        <v>13</v>
      </c>
      <c r="C58" s="1" t="s">
        <v>14</v>
      </c>
      <c r="D58" s="1" t="s">
        <v>15</v>
      </c>
      <c r="E58" s="1" t="s">
        <v>16</v>
      </c>
      <c r="F58" s="1" t="s">
        <v>17</v>
      </c>
      <c r="G58" s="1" t="s">
        <v>18</v>
      </c>
      <c r="H58" s="1" t="s">
        <v>19</v>
      </c>
      <c r="I58" s="1" t="s">
        <v>20</v>
      </c>
      <c r="J58" s="1" t="s">
        <v>21</v>
      </c>
      <c r="K58" s="1" t="s">
        <v>22</v>
      </c>
      <c r="L58" s="1" t="s">
        <v>3</v>
      </c>
    </row>
    <row r="59" spans="1:12" ht="18.75">
      <c r="A59" s="6" t="s">
        <v>65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8.75">
      <c r="A60" s="8" t="s">
        <v>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8.75">
      <c r="A61" s="8" t="s">
        <v>67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8.75">
      <c r="A62" s="8" t="s">
        <v>68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8.75">
      <c r="A63" s="8" t="s">
        <v>69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6" ht="18.75">
      <c r="A66" s="13" t="s">
        <v>70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1">
      <selection activeCell="R7" sqref="R7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23.25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7.5">
      <c r="A2" s="1" t="s">
        <v>0</v>
      </c>
      <c r="B2" s="1" t="s">
        <v>1</v>
      </c>
      <c r="C2" s="1" t="s">
        <v>2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3</v>
      </c>
    </row>
    <row r="3" spans="1:15" ht="75">
      <c r="A3" s="2" t="s">
        <v>4</v>
      </c>
      <c r="B3" s="14">
        <v>9564.3</v>
      </c>
      <c r="C3" s="14">
        <v>9709.3</v>
      </c>
      <c r="D3" s="14">
        <v>9855.3</v>
      </c>
      <c r="E3" s="14">
        <f>E4+E7</f>
        <v>6735</v>
      </c>
      <c r="F3" s="14">
        <f>F4+F7</f>
        <v>6514.9</v>
      </c>
      <c r="G3" s="14">
        <f>G4+G7</f>
        <v>6532.9</v>
      </c>
      <c r="H3" s="14">
        <f aca="true" t="shared" si="0" ref="H3:O3">H4+H7</f>
        <v>6663.557999999999</v>
      </c>
      <c r="I3" s="14">
        <f t="shared" si="0"/>
        <v>6796.829159999999</v>
      </c>
      <c r="J3" s="14">
        <f t="shared" si="0"/>
        <v>6932.7657432</v>
      </c>
      <c r="K3" s="14">
        <f t="shared" si="0"/>
        <v>7071.421058063999</v>
      </c>
      <c r="L3" s="14">
        <f t="shared" si="0"/>
        <v>7212.8494792252795</v>
      </c>
      <c r="M3" s="14">
        <f t="shared" si="0"/>
        <v>7357.106468809786</v>
      </c>
      <c r="N3" s="14">
        <f t="shared" si="0"/>
        <v>7504.248598185982</v>
      </c>
      <c r="O3" s="14">
        <f t="shared" si="0"/>
        <v>7654.333570149702</v>
      </c>
    </row>
    <row r="4" spans="1:15" ht="18.75">
      <c r="A4" s="3" t="s">
        <v>5</v>
      </c>
      <c r="B4" s="14">
        <v>4126</v>
      </c>
      <c r="C4" s="14">
        <v>4191</v>
      </c>
      <c r="D4" s="14">
        <v>4257</v>
      </c>
      <c r="E4" s="14">
        <f aca="true" t="shared" si="1" ref="E4:O4">E5+E6</f>
        <v>1031</v>
      </c>
      <c r="F4" s="14">
        <f t="shared" si="1"/>
        <v>1046</v>
      </c>
      <c r="G4" s="14">
        <f t="shared" si="1"/>
        <v>1064</v>
      </c>
      <c r="H4" s="14">
        <f t="shared" si="1"/>
        <v>1085.28</v>
      </c>
      <c r="I4" s="14">
        <f t="shared" si="1"/>
        <v>1106.9856</v>
      </c>
      <c r="J4" s="14">
        <f t="shared" si="1"/>
        <v>1129.1253120000001</v>
      </c>
      <c r="K4" s="14">
        <f t="shared" si="1"/>
        <v>1151.7078182400003</v>
      </c>
      <c r="L4" s="14">
        <f t="shared" si="1"/>
        <v>1174.7419746048001</v>
      </c>
      <c r="M4" s="14">
        <f t="shared" si="1"/>
        <v>1198.2368140968963</v>
      </c>
      <c r="N4" s="14">
        <f t="shared" si="1"/>
        <v>1222.201550378834</v>
      </c>
      <c r="O4" s="14">
        <f t="shared" si="1"/>
        <v>1246.6455813864109</v>
      </c>
    </row>
    <row r="5" spans="1:15" ht="18.75">
      <c r="A5" s="5" t="s">
        <v>6</v>
      </c>
      <c r="B5" s="14">
        <v>4080</v>
      </c>
      <c r="C5" s="14">
        <v>4142</v>
      </c>
      <c r="D5" s="14">
        <v>4200</v>
      </c>
      <c r="E5" s="14">
        <f>E15</f>
        <v>1017</v>
      </c>
      <c r="F5" s="14">
        <f aca="true" t="shared" si="2" ref="F5:O5">F15</f>
        <v>1032</v>
      </c>
      <c r="G5" s="14">
        <f t="shared" si="2"/>
        <v>1050</v>
      </c>
      <c r="H5" s="14">
        <f t="shared" si="2"/>
        <v>1071</v>
      </c>
      <c r="I5" s="14">
        <f t="shared" si="2"/>
        <v>1092.42</v>
      </c>
      <c r="J5" s="14">
        <f t="shared" si="2"/>
        <v>1114.2684000000002</v>
      </c>
      <c r="K5" s="14">
        <f t="shared" si="2"/>
        <v>1136.5537680000002</v>
      </c>
      <c r="L5" s="14">
        <f t="shared" si="2"/>
        <v>1159.2848433600002</v>
      </c>
      <c r="M5" s="14">
        <f t="shared" si="2"/>
        <v>1182.4705402272002</v>
      </c>
      <c r="N5" s="14">
        <f t="shared" si="2"/>
        <v>1206.1199510317442</v>
      </c>
      <c r="O5" s="14">
        <f t="shared" si="2"/>
        <v>1230.2423500523792</v>
      </c>
    </row>
    <row r="6" spans="1:15" ht="18.75">
      <c r="A6" s="5" t="s">
        <v>7</v>
      </c>
      <c r="B6" s="14">
        <v>46</v>
      </c>
      <c r="C6" s="14">
        <v>49</v>
      </c>
      <c r="D6" s="14">
        <v>57</v>
      </c>
      <c r="E6" s="14">
        <f>E26</f>
        <v>14</v>
      </c>
      <c r="F6" s="14">
        <f>F26</f>
        <v>14</v>
      </c>
      <c r="G6" s="14">
        <f>G26</f>
        <v>14</v>
      </c>
      <c r="H6" s="14">
        <f aca="true" t="shared" si="3" ref="H6:O6">H26</f>
        <v>14.280000000000001</v>
      </c>
      <c r="I6" s="14">
        <f t="shared" si="3"/>
        <v>14.565600000000002</v>
      </c>
      <c r="J6" s="14">
        <f t="shared" si="3"/>
        <v>14.856912000000001</v>
      </c>
      <c r="K6" s="14">
        <f t="shared" si="3"/>
        <v>15.154050240000002</v>
      </c>
      <c r="L6" s="14">
        <f t="shared" si="3"/>
        <v>15.457131244800003</v>
      </c>
      <c r="M6" s="14">
        <f t="shared" si="3"/>
        <v>15.766273869696004</v>
      </c>
      <c r="N6" s="14">
        <f t="shared" si="3"/>
        <v>16.081599347089924</v>
      </c>
      <c r="O6" s="14">
        <f t="shared" si="3"/>
        <v>16.403231334031723</v>
      </c>
    </row>
    <row r="7" spans="1:15" ht="66.75" customHeight="1">
      <c r="A7" s="3" t="s">
        <v>8</v>
      </c>
      <c r="B7" s="15">
        <v>5438.3</v>
      </c>
      <c r="C7" s="15">
        <v>5518.3</v>
      </c>
      <c r="D7" s="15">
        <v>5598.3</v>
      </c>
      <c r="E7" s="14">
        <f>E34</f>
        <v>5704</v>
      </c>
      <c r="F7" s="14">
        <f>F34</f>
        <v>5468.9</v>
      </c>
      <c r="G7" s="14">
        <f>G34</f>
        <v>5468.9</v>
      </c>
      <c r="H7" s="14">
        <f aca="true" t="shared" si="4" ref="H7:O7">H34</f>
        <v>5578.277999999999</v>
      </c>
      <c r="I7" s="14">
        <f t="shared" si="4"/>
        <v>5689.843559999999</v>
      </c>
      <c r="J7" s="14">
        <f t="shared" si="4"/>
        <v>5803.6404311999995</v>
      </c>
      <c r="K7" s="14">
        <f t="shared" si="4"/>
        <v>5919.713239823999</v>
      </c>
      <c r="L7" s="14">
        <f t="shared" si="4"/>
        <v>6038.10750462048</v>
      </c>
      <c r="M7" s="14">
        <f t="shared" si="4"/>
        <v>6158.869654712889</v>
      </c>
      <c r="N7" s="14">
        <f t="shared" si="4"/>
        <v>6282.0470478071475</v>
      </c>
      <c r="O7" s="14">
        <f t="shared" si="4"/>
        <v>6407.68798876329</v>
      </c>
    </row>
    <row r="8" spans="1:15" ht="84.75" customHeight="1">
      <c r="A8" s="2" t="s">
        <v>9</v>
      </c>
      <c r="B8" s="15">
        <v>9564.3</v>
      </c>
      <c r="C8" s="15">
        <v>9709.3</v>
      </c>
      <c r="D8" s="15">
        <v>9855.3</v>
      </c>
      <c r="E8" s="14">
        <f>E41</f>
        <v>6785</v>
      </c>
      <c r="F8" s="14">
        <f aca="true" t="shared" si="5" ref="F8:O8">F41</f>
        <v>6514.9</v>
      </c>
      <c r="G8" s="14">
        <f t="shared" si="5"/>
        <v>6532.9</v>
      </c>
      <c r="H8" s="14">
        <f t="shared" si="5"/>
        <v>6663.6</v>
      </c>
      <c r="I8" s="14">
        <f t="shared" si="5"/>
        <v>6796.8</v>
      </c>
      <c r="J8" s="14">
        <f t="shared" si="5"/>
        <v>6932.8</v>
      </c>
      <c r="K8" s="14">
        <f t="shared" si="5"/>
        <v>7071.4</v>
      </c>
      <c r="L8" s="14">
        <f t="shared" si="5"/>
        <v>7212.8</v>
      </c>
      <c r="M8" s="14">
        <f t="shared" si="5"/>
        <v>7357.1</v>
      </c>
      <c r="N8" s="14">
        <f t="shared" si="5"/>
        <v>7504.200000000001</v>
      </c>
      <c r="O8" s="14">
        <f t="shared" si="5"/>
        <v>7654.3</v>
      </c>
    </row>
    <row r="9" spans="1:15" s="55" customFormat="1" ht="18.75">
      <c r="A9" s="53" t="s">
        <v>10</v>
      </c>
      <c r="B9" s="54">
        <v>0</v>
      </c>
      <c r="C9" s="54">
        <v>0</v>
      </c>
      <c r="D9" s="54">
        <v>0</v>
      </c>
      <c r="E9" s="54">
        <f>E3-E41</f>
        <v>-50</v>
      </c>
      <c r="F9" s="54">
        <f aca="true" t="shared" si="6" ref="F9:O9">F3-F41</f>
        <v>0</v>
      </c>
      <c r="G9" s="54">
        <f t="shared" si="6"/>
        <v>0</v>
      </c>
      <c r="H9" s="54">
        <f>H3-H41</f>
        <v>-0.04200000000128057</v>
      </c>
      <c r="I9" s="54">
        <f t="shared" si="6"/>
        <v>0.029159999999137654</v>
      </c>
      <c r="J9" s="54">
        <f t="shared" si="6"/>
        <v>-0.03425680000054854</v>
      </c>
      <c r="K9" s="54">
        <f t="shared" si="6"/>
        <v>0.02105806399958965</v>
      </c>
      <c r="L9" s="54">
        <f t="shared" si="6"/>
        <v>0.04947922527935589</v>
      </c>
      <c r="M9" s="54">
        <f t="shared" si="6"/>
        <v>0.00646880978547415</v>
      </c>
      <c r="N9" s="54">
        <f t="shared" si="6"/>
        <v>0.04859818598106358</v>
      </c>
      <c r="O9" s="54">
        <f t="shared" si="6"/>
        <v>0.03357014970151795</v>
      </c>
    </row>
    <row r="10" spans="1:15" ht="18.75">
      <c r="A10" s="2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</row>
    <row r="12" spans="1:15" ht="37.5">
      <c r="A12" s="1" t="s">
        <v>0</v>
      </c>
      <c r="B12" s="1" t="s">
        <v>1</v>
      </c>
      <c r="C12" s="1" t="s">
        <v>2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1" t="s">
        <v>3</v>
      </c>
    </row>
    <row r="13" spans="1:15" ht="75">
      <c r="A13" s="6" t="s">
        <v>23</v>
      </c>
      <c r="B13" s="14">
        <f aca="true" t="shared" si="7" ref="B13:G13">B14+B34</f>
        <v>9564.3</v>
      </c>
      <c r="C13" s="14">
        <f t="shared" si="7"/>
        <v>9709.3</v>
      </c>
      <c r="D13" s="14">
        <f t="shared" si="7"/>
        <v>9855.3</v>
      </c>
      <c r="E13" s="14">
        <f t="shared" si="7"/>
        <v>6735</v>
      </c>
      <c r="F13" s="14">
        <f t="shared" si="7"/>
        <v>6514.9</v>
      </c>
      <c r="G13" s="14">
        <f t="shared" si="7"/>
        <v>6532.9</v>
      </c>
      <c r="H13" s="14">
        <f>G13*1.02</f>
        <v>6663.558</v>
      </c>
      <c r="I13" s="14">
        <f aca="true" t="shared" si="8" ref="I13:O13">H13*1.02</f>
        <v>6796.82916</v>
      </c>
      <c r="J13" s="14">
        <f t="shared" si="8"/>
        <v>6932.7657432000005</v>
      </c>
      <c r="K13" s="14">
        <f t="shared" si="8"/>
        <v>7071.421058064001</v>
      </c>
      <c r="L13" s="14">
        <f t="shared" si="8"/>
        <v>7212.849479225281</v>
      </c>
      <c r="M13" s="14">
        <f t="shared" si="8"/>
        <v>7357.106468809787</v>
      </c>
      <c r="N13" s="14">
        <f t="shared" si="8"/>
        <v>7504.248598185983</v>
      </c>
      <c r="O13" s="14">
        <f t="shared" si="8"/>
        <v>7654.333570149703</v>
      </c>
    </row>
    <row r="14" spans="1:15" ht="37.5">
      <c r="A14" s="6" t="s">
        <v>24</v>
      </c>
      <c r="B14" s="14">
        <f aca="true" t="shared" si="9" ref="B14:G14">B15+B26</f>
        <v>4126</v>
      </c>
      <c r="C14" s="14">
        <f t="shared" si="9"/>
        <v>4191</v>
      </c>
      <c r="D14" s="14">
        <f t="shared" si="9"/>
        <v>4257</v>
      </c>
      <c r="E14" s="14">
        <f t="shared" si="9"/>
        <v>1031</v>
      </c>
      <c r="F14" s="14">
        <f t="shared" si="9"/>
        <v>1046</v>
      </c>
      <c r="G14" s="14">
        <f t="shared" si="9"/>
        <v>1064</v>
      </c>
      <c r="H14" s="14">
        <f aca="true" t="shared" si="10" ref="H14:O38">G14*1.02</f>
        <v>1085.28</v>
      </c>
      <c r="I14" s="14">
        <f t="shared" si="10"/>
        <v>1106.9856</v>
      </c>
      <c r="J14" s="14">
        <f t="shared" si="10"/>
        <v>1129.125312</v>
      </c>
      <c r="K14" s="14">
        <f t="shared" si="10"/>
        <v>1151.7078182399998</v>
      </c>
      <c r="L14" s="14">
        <f t="shared" si="10"/>
        <v>1174.7419746048</v>
      </c>
      <c r="M14" s="14">
        <f t="shared" si="10"/>
        <v>1198.2368140968958</v>
      </c>
      <c r="N14" s="14">
        <f t="shared" si="10"/>
        <v>1222.2015503788339</v>
      </c>
      <c r="O14" s="14">
        <f t="shared" si="10"/>
        <v>1246.6455813864106</v>
      </c>
    </row>
    <row r="15" spans="1:15" ht="19.5">
      <c r="A15" s="7" t="s">
        <v>25</v>
      </c>
      <c r="B15" s="14">
        <f>B16+B17+B18+B19+B20+B21+B22+B23+B24+B25</f>
        <v>4080</v>
      </c>
      <c r="C15" s="14">
        <f>C16+C17+C18+C19+C20+C21+C22+C23+C24+C25</f>
        <v>4142</v>
      </c>
      <c r="D15" s="14">
        <f>D16+D17+D18+D19+D20+D21+D22+D23+D24+D25</f>
        <v>4200</v>
      </c>
      <c r="E15" s="14">
        <f>E16+E17+E19+E21+E22</f>
        <v>1017</v>
      </c>
      <c r="F15" s="14">
        <f>F16+F17+F19+F21+F22</f>
        <v>1032</v>
      </c>
      <c r="G15" s="14">
        <f>G16+G17+G19+G21+G22</f>
        <v>1050</v>
      </c>
      <c r="H15" s="14">
        <f t="shared" si="10"/>
        <v>1071</v>
      </c>
      <c r="I15" s="14">
        <f t="shared" si="10"/>
        <v>1092.42</v>
      </c>
      <c r="J15" s="14">
        <f t="shared" si="10"/>
        <v>1114.2684000000002</v>
      </c>
      <c r="K15" s="14">
        <f t="shared" si="10"/>
        <v>1136.5537680000002</v>
      </c>
      <c r="L15" s="14">
        <f t="shared" si="10"/>
        <v>1159.2848433600002</v>
      </c>
      <c r="M15" s="14">
        <f t="shared" si="10"/>
        <v>1182.4705402272002</v>
      </c>
      <c r="N15" s="14">
        <f t="shared" si="10"/>
        <v>1206.1199510317442</v>
      </c>
      <c r="O15" s="14">
        <f t="shared" si="10"/>
        <v>1230.2423500523792</v>
      </c>
    </row>
    <row r="16" spans="1:15" ht="18.75">
      <c r="A16" s="8" t="s">
        <v>26</v>
      </c>
      <c r="B16" s="14">
        <v>3000</v>
      </c>
      <c r="C16" s="14">
        <v>3050</v>
      </c>
      <c r="D16" s="14">
        <v>3100</v>
      </c>
      <c r="E16" s="14">
        <v>507</v>
      </c>
      <c r="F16" s="14">
        <v>522</v>
      </c>
      <c r="G16" s="14">
        <v>540</v>
      </c>
      <c r="H16" s="14">
        <f t="shared" si="10"/>
        <v>550.8</v>
      </c>
      <c r="I16" s="14">
        <f t="shared" si="10"/>
        <v>561.8159999999999</v>
      </c>
      <c r="J16" s="14">
        <f t="shared" si="10"/>
        <v>573.0523199999999</v>
      </c>
      <c r="K16" s="14">
        <f t="shared" si="10"/>
        <v>584.5133663999999</v>
      </c>
      <c r="L16" s="14">
        <f t="shared" si="10"/>
        <v>596.2036337279999</v>
      </c>
      <c r="M16" s="14">
        <f t="shared" si="10"/>
        <v>608.1277064025599</v>
      </c>
      <c r="N16" s="14">
        <f t="shared" si="10"/>
        <v>620.290260530611</v>
      </c>
      <c r="O16" s="14">
        <f t="shared" si="10"/>
        <v>632.6960657412233</v>
      </c>
    </row>
    <row r="17" spans="1:15" ht="56.25">
      <c r="A17" s="8" t="s">
        <v>27</v>
      </c>
      <c r="B17" s="14">
        <v>680</v>
      </c>
      <c r="C17" s="14">
        <v>687</v>
      </c>
      <c r="D17" s="14">
        <v>690</v>
      </c>
      <c r="E17" s="14">
        <v>0</v>
      </c>
      <c r="F17" s="14">
        <v>0</v>
      </c>
      <c r="G17" s="14">
        <v>0</v>
      </c>
      <c r="H17" s="14">
        <f t="shared" si="10"/>
        <v>0</v>
      </c>
      <c r="I17" s="14">
        <f t="shared" si="10"/>
        <v>0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 t="shared" si="10"/>
        <v>0</v>
      </c>
      <c r="O17" s="14">
        <f t="shared" si="10"/>
        <v>0</v>
      </c>
    </row>
    <row r="18" spans="1:15" ht="37.5">
      <c r="A18" s="8" t="s">
        <v>28</v>
      </c>
      <c r="B18" s="15"/>
      <c r="C18" s="15"/>
      <c r="D18" s="15"/>
      <c r="E18" s="14">
        <v>0</v>
      </c>
      <c r="F18" s="14">
        <v>0</v>
      </c>
      <c r="G18" s="14">
        <v>0</v>
      </c>
      <c r="H18" s="14">
        <f t="shared" si="10"/>
        <v>0</v>
      </c>
      <c r="I18" s="14">
        <f t="shared" si="10"/>
        <v>0</v>
      </c>
      <c r="J18" s="14">
        <f t="shared" si="10"/>
        <v>0</v>
      </c>
      <c r="K18" s="14">
        <f t="shared" si="10"/>
        <v>0</v>
      </c>
      <c r="L18" s="14">
        <f t="shared" si="10"/>
        <v>0</v>
      </c>
      <c r="M18" s="14">
        <f t="shared" si="10"/>
        <v>0</v>
      </c>
      <c r="N18" s="14">
        <f t="shared" si="10"/>
        <v>0</v>
      </c>
      <c r="O18" s="14">
        <f t="shared" si="10"/>
        <v>0</v>
      </c>
    </row>
    <row r="19" spans="1:15" ht="37.5">
      <c r="A19" s="8" t="s">
        <v>29</v>
      </c>
      <c r="B19" s="15"/>
      <c r="C19" s="15"/>
      <c r="D19" s="15"/>
      <c r="E19" s="14">
        <v>100</v>
      </c>
      <c r="F19" s="14">
        <v>100</v>
      </c>
      <c r="G19" s="14">
        <v>100</v>
      </c>
      <c r="H19" s="14">
        <f t="shared" si="10"/>
        <v>102</v>
      </c>
      <c r="I19" s="14">
        <f t="shared" si="10"/>
        <v>104.04</v>
      </c>
      <c r="J19" s="14">
        <f t="shared" si="10"/>
        <v>106.1208</v>
      </c>
      <c r="K19" s="14">
        <f t="shared" si="10"/>
        <v>108.243216</v>
      </c>
      <c r="L19" s="14">
        <f t="shared" si="10"/>
        <v>110.40808032000001</v>
      </c>
      <c r="M19" s="14">
        <f t="shared" si="10"/>
        <v>112.61624192640001</v>
      </c>
      <c r="N19" s="14">
        <f t="shared" si="10"/>
        <v>114.868566764928</v>
      </c>
      <c r="O19" s="14">
        <f t="shared" si="10"/>
        <v>117.16593810022657</v>
      </c>
    </row>
    <row r="20" spans="1:15" ht="56.25">
      <c r="A20" s="8" t="s">
        <v>30</v>
      </c>
      <c r="B20" s="15"/>
      <c r="C20" s="15"/>
      <c r="D20" s="15"/>
      <c r="E20" s="14">
        <v>0</v>
      </c>
      <c r="F20" s="14">
        <v>0</v>
      </c>
      <c r="G20" s="14">
        <v>0</v>
      </c>
      <c r="H20" s="14">
        <f t="shared" si="10"/>
        <v>0</v>
      </c>
      <c r="I20" s="14">
        <f t="shared" si="10"/>
        <v>0</v>
      </c>
      <c r="J20" s="14">
        <f t="shared" si="10"/>
        <v>0</v>
      </c>
      <c r="K20" s="14">
        <f t="shared" si="10"/>
        <v>0</v>
      </c>
      <c r="L20" s="14">
        <f t="shared" si="10"/>
        <v>0</v>
      </c>
      <c r="M20" s="14">
        <f t="shared" si="10"/>
        <v>0</v>
      </c>
      <c r="N20" s="14">
        <f t="shared" si="10"/>
        <v>0</v>
      </c>
      <c r="O20" s="14">
        <f t="shared" si="10"/>
        <v>0</v>
      </c>
    </row>
    <row r="21" spans="1:15" ht="37.5">
      <c r="A21" s="8" t="s">
        <v>31</v>
      </c>
      <c r="B21" s="14">
        <v>30</v>
      </c>
      <c r="C21" s="14">
        <v>32</v>
      </c>
      <c r="D21" s="14">
        <v>35</v>
      </c>
      <c r="E21" s="14">
        <v>20</v>
      </c>
      <c r="F21" s="14">
        <v>20</v>
      </c>
      <c r="G21" s="14">
        <v>20</v>
      </c>
      <c r="H21" s="14">
        <f t="shared" si="10"/>
        <v>20.4</v>
      </c>
      <c r="I21" s="14">
        <f t="shared" si="10"/>
        <v>20.808</v>
      </c>
      <c r="J21" s="14">
        <f t="shared" si="10"/>
        <v>21.22416</v>
      </c>
      <c r="K21" s="14">
        <f t="shared" si="10"/>
        <v>21.648643200000002</v>
      </c>
      <c r="L21" s="14">
        <f t="shared" si="10"/>
        <v>22.081616064000002</v>
      </c>
      <c r="M21" s="14">
        <f t="shared" si="10"/>
        <v>22.523248385280002</v>
      </c>
      <c r="N21" s="14">
        <f t="shared" si="10"/>
        <v>22.9737133529856</v>
      </c>
      <c r="O21" s="14">
        <f t="shared" si="10"/>
        <v>23.433187620045313</v>
      </c>
    </row>
    <row r="22" spans="1:15" ht="18.75">
      <c r="A22" s="8" t="s">
        <v>32</v>
      </c>
      <c r="B22" s="14">
        <v>370</v>
      </c>
      <c r="C22" s="14">
        <v>373</v>
      </c>
      <c r="D22" s="14">
        <v>375</v>
      </c>
      <c r="E22" s="14">
        <v>390</v>
      </c>
      <c r="F22" s="14">
        <v>390</v>
      </c>
      <c r="G22" s="14">
        <v>390</v>
      </c>
      <c r="H22" s="14">
        <f t="shared" si="10"/>
        <v>397.8</v>
      </c>
      <c r="I22" s="14">
        <f t="shared" si="10"/>
        <v>405.75600000000003</v>
      </c>
      <c r="J22" s="14">
        <f t="shared" si="10"/>
        <v>413.87112</v>
      </c>
      <c r="K22" s="14">
        <f t="shared" si="10"/>
        <v>422.14854240000005</v>
      </c>
      <c r="L22" s="14">
        <f t="shared" si="10"/>
        <v>430.59151324800007</v>
      </c>
      <c r="M22" s="14">
        <f t="shared" si="10"/>
        <v>439.2033435129601</v>
      </c>
      <c r="N22" s="14">
        <f t="shared" si="10"/>
        <v>447.9874103832193</v>
      </c>
      <c r="O22" s="14">
        <f t="shared" si="10"/>
        <v>456.9471585908837</v>
      </c>
    </row>
    <row r="23" spans="1:15" ht="56.25">
      <c r="A23" s="8" t="s">
        <v>33</v>
      </c>
      <c r="B23" s="15"/>
      <c r="C23" s="15"/>
      <c r="D23" s="15"/>
      <c r="E23" s="14">
        <v>0</v>
      </c>
      <c r="F23" s="14">
        <v>0</v>
      </c>
      <c r="G23" s="14">
        <v>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0</v>
      </c>
      <c r="M23" s="14">
        <f t="shared" si="10"/>
        <v>0</v>
      </c>
      <c r="N23" s="14">
        <f t="shared" si="10"/>
        <v>0</v>
      </c>
      <c r="O23" s="14">
        <f t="shared" si="10"/>
        <v>0</v>
      </c>
    </row>
    <row r="24" spans="1:15" ht="18.75">
      <c r="A24" s="8" t="s">
        <v>34</v>
      </c>
      <c r="B24" s="15"/>
      <c r="C24" s="15"/>
      <c r="D24" s="15"/>
      <c r="E24" s="14">
        <v>0</v>
      </c>
      <c r="F24" s="14">
        <v>0</v>
      </c>
      <c r="G24" s="14"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14">
        <f t="shared" si="10"/>
        <v>0</v>
      </c>
    </row>
    <row r="25" spans="1:15" ht="56.25">
      <c r="A25" s="8" t="s">
        <v>35</v>
      </c>
      <c r="B25" s="15"/>
      <c r="C25" s="15"/>
      <c r="D25" s="15"/>
      <c r="E25" s="14">
        <v>0</v>
      </c>
      <c r="F25" s="14">
        <v>0</v>
      </c>
      <c r="G25" s="14">
        <v>0</v>
      </c>
      <c r="H25" s="14">
        <f t="shared" si="10"/>
        <v>0</v>
      </c>
      <c r="I25" s="14">
        <f t="shared" si="10"/>
        <v>0</v>
      </c>
      <c r="J25" s="14">
        <f t="shared" si="10"/>
        <v>0</v>
      </c>
      <c r="K25" s="14">
        <f t="shared" si="10"/>
        <v>0</v>
      </c>
      <c r="L25" s="14">
        <f t="shared" si="10"/>
        <v>0</v>
      </c>
      <c r="M25" s="14">
        <f t="shared" si="10"/>
        <v>0</v>
      </c>
      <c r="N25" s="14">
        <f t="shared" si="10"/>
        <v>0</v>
      </c>
      <c r="O25" s="14">
        <f t="shared" si="10"/>
        <v>0</v>
      </c>
    </row>
    <row r="26" spans="1:15" ht="19.5">
      <c r="A26" s="7" t="s">
        <v>36</v>
      </c>
      <c r="B26" s="14">
        <f>B27+B28+B29+B30+B31+B32+B33</f>
        <v>46</v>
      </c>
      <c r="C26" s="14">
        <f>C27+C28+C29+C30+C31+C32+C33</f>
        <v>49</v>
      </c>
      <c r="D26" s="14">
        <f>D27+D28+D29+D30+D31+D32+D33</f>
        <v>57</v>
      </c>
      <c r="E26" s="14">
        <f>E29</f>
        <v>14</v>
      </c>
      <c r="F26" s="14">
        <f>F29</f>
        <v>14</v>
      </c>
      <c r="G26" s="14">
        <f>G29</f>
        <v>14</v>
      </c>
      <c r="H26" s="14">
        <f t="shared" si="10"/>
        <v>14.280000000000001</v>
      </c>
      <c r="I26" s="14">
        <f t="shared" si="10"/>
        <v>14.565600000000002</v>
      </c>
      <c r="J26" s="14">
        <f t="shared" si="10"/>
        <v>14.856912000000001</v>
      </c>
      <c r="K26" s="14">
        <f t="shared" si="10"/>
        <v>15.154050240000002</v>
      </c>
      <c r="L26" s="14">
        <f t="shared" si="10"/>
        <v>15.457131244800003</v>
      </c>
      <c r="M26" s="14">
        <f t="shared" si="10"/>
        <v>15.766273869696004</v>
      </c>
      <c r="N26" s="14">
        <f t="shared" si="10"/>
        <v>16.081599347089924</v>
      </c>
      <c r="O26" s="14">
        <f t="shared" si="10"/>
        <v>16.403231334031723</v>
      </c>
    </row>
    <row r="27" spans="1:15" ht="75">
      <c r="A27" s="8" t="s">
        <v>37</v>
      </c>
      <c r="B27" s="14">
        <v>34</v>
      </c>
      <c r="C27" s="14">
        <v>37</v>
      </c>
      <c r="D27" s="14">
        <v>45</v>
      </c>
      <c r="E27" s="14">
        <v>0</v>
      </c>
      <c r="F27" s="14">
        <v>0</v>
      </c>
      <c r="G27" s="14"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  <c r="O27" s="14">
        <f t="shared" si="10"/>
        <v>0</v>
      </c>
    </row>
    <row r="28" spans="1:15" ht="37.5">
      <c r="A28" s="8" t="s">
        <v>38</v>
      </c>
      <c r="B28" s="15"/>
      <c r="C28" s="15"/>
      <c r="D28" s="15"/>
      <c r="E28" s="14">
        <v>0</v>
      </c>
      <c r="F28" s="14">
        <v>0</v>
      </c>
      <c r="G28" s="14">
        <v>0</v>
      </c>
      <c r="H28" s="14">
        <f t="shared" si="10"/>
        <v>0</v>
      </c>
      <c r="I28" s="14">
        <f t="shared" si="10"/>
        <v>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0"/>
        <v>0</v>
      </c>
      <c r="O28" s="14">
        <f t="shared" si="10"/>
        <v>0</v>
      </c>
    </row>
    <row r="29" spans="1:15" ht="56.25">
      <c r="A29" s="8" t="s">
        <v>39</v>
      </c>
      <c r="B29" s="14">
        <v>12</v>
      </c>
      <c r="C29" s="14">
        <v>12</v>
      </c>
      <c r="D29" s="14">
        <v>12</v>
      </c>
      <c r="E29" s="14">
        <v>14</v>
      </c>
      <c r="F29" s="14">
        <v>14</v>
      </c>
      <c r="G29" s="14">
        <v>14</v>
      </c>
      <c r="H29" s="14">
        <f t="shared" si="10"/>
        <v>14.280000000000001</v>
      </c>
      <c r="I29" s="14">
        <f t="shared" si="10"/>
        <v>14.565600000000002</v>
      </c>
      <c r="J29" s="14">
        <f t="shared" si="10"/>
        <v>14.856912000000001</v>
      </c>
      <c r="K29" s="14">
        <f t="shared" si="10"/>
        <v>15.154050240000002</v>
      </c>
      <c r="L29" s="14">
        <f t="shared" si="10"/>
        <v>15.457131244800003</v>
      </c>
      <c r="M29" s="14">
        <f t="shared" si="10"/>
        <v>15.766273869696004</v>
      </c>
      <c r="N29" s="14">
        <f t="shared" si="10"/>
        <v>16.081599347089924</v>
      </c>
      <c r="O29" s="14">
        <f t="shared" si="10"/>
        <v>16.403231334031723</v>
      </c>
    </row>
    <row r="30" spans="1:15" ht="37.5">
      <c r="A30" s="8" t="s">
        <v>40</v>
      </c>
      <c r="B30" s="15"/>
      <c r="C30" s="15"/>
      <c r="D30" s="15"/>
      <c r="E30" s="14">
        <v>0</v>
      </c>
      <c r="F30" s="14">
        <v>0</v>
      </c>
      <c r="G30" s="14">
        <v>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</row>
    <row r="31" spans="1:15" ht="37.5">
      <c r="A31" s="8" t="s">
        <v>41</v>
      </c>
      <c r="B31" s="15"/>
      <c r="C31" s="15"/>
      <c r="D31" s="15"/>
      <c r="E31" s="14">
        <v>0</v>
      </c>
      <c r="F31" s="14">
        <v>0</v>
      </c>
      <c r="G31" s="14">
        <v>0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10"/>
        <v>0</v>
      </c>
    </row>
    <row r="32" spans="1:15" ht="37.5">
      <c r="A32" s="8" t="s">
        <v>42</v>
      </c>
      <c r="B32" s="15"/>
      <c r="C32" s="15"/>
      <c r="D32" s="15"/>
      <c r="E32" s="14">
        <v>0</v>
      </c>
      <c r="F32" s="14">
        <v>0</v>
      </c>
      <c r="G32" s="14">
        <v>0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10"/>
        <v>0</v>
      </c>
    </row>
    <row r="33" spans="1:15" ht="18.75">
      <c r="A33" s="8" t="s">
        <v>43</v>
      </c>
      <c r="B33" s="15"/>
      <c r="C33" s="15"/>
      <c r="D33" s="15"/>
      <c r="E33" s="14">
        <v>0</v>
      </c>
      <c r="F33" s="14">
        <v>0</v>
      </c>
      <c r="G33" s="14">
        <v>0</v>
      </c>
      <c r="H33" s="14">
        <f t="shared" si="10"/>
        <v>0</v>
      </c>
      <c r="I33" s="14">
        <f t="shared" si="10"/>
        <v>0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10"/>
        <v>0</v>
      </c>
      <c r="O33" s="14">
        <f t="shared" si="10"/>
        <v>0</v>
      </c>
    </row>
    <row r="34" spans="1:15" ht="75">
      <c r="A34" s="6" t="s">
        <v>44</v>
      </c>
      <c r="B34" s="14">
        <f aca="true" t="shared" si="11" ref="B34:G34">B35+B36+B37+B38</f>
        <v>5438.3</v>
      </c>
      <c r="C34" s="14">
        <f t="shared" si="11"/>
        <v>5518.3</v>
      </c>
      <c r="D34" s="14">
        <f t="shared" si="11"/>
        <v>5598.3</v>
      </c>
      <c r="E34" s="14">
        <f t="shared" si="11"/>
        <v>5704</v>
      </c>
      <c r="F34" s="14">
        <f t="shared" si="11"/>
        <v>5468.9</v>
      </c>
      <c r="G34" s="14">
        <f t="shared" si="11"/>
        <v>5468.9</v>
      </c>
      <c r="H34" s="14">
        <f t="shared" si="10"/>
        <v>5578.277999999999</v>
      </c>
      <c r="I34" s="14">
        <f t="shared" si="10"/>
        <v>5689.843559999999</v>
      </c>
      <c r="J34" s="14">
        <f t="shared" si="10"/>
        <v>5803.6404311999995</v>
      </c>
      <c r="K34" s="14">
        <f t="shared" si="10"/>
        <v>5919.713239823999</v>
      </c>
      <c r="L34" s="14">
        <f t="shared" si="10"/>
        <v>6038.10750462048</v>
      </c>
      <c r="M34" s="14">
        <f t="shared" si="10"/>
        <v>6158.869654712889</v>
      </c>
      <c r="N34" s="14">
        <f t="shared" si="10"/>
        <v>6282.0470478071475</v>
      </c>
      <c r="O34" s="14">
        <f t="shared" si="10"/>
        <v>6407.68798876329</v>
      </c>
    </row>
    <row r="35" spans="1:15" ht="18.75">
      <c r="A35" s="8" t="s">
        <v>45</v>
      </c>
      <c r="B35" s="14">
        <v>5260</v>
      </c>
      <c r="C35" s="14">
        <v>5340</v>
      </c>
      <c r="D35" s="14">
        <v>5420</v>
      </c>
      <c r="E35" s="14">
        <v>5704</v>
      </c>
      <c r="F35" s="14">
        <v>5468.9</v>
      </c>
      <c r="G35" s="14">
        <v>5468.9</v>
      </c>
      <c r="H35" s="14">
        <f t="shared" si="10"/>
        <v>5578.277999999999</v>
      </c>
      <c r="I35" s="14">
        <f t="shared" si="10"/>
        <v>5689.843559999999</v>
      </c>
      <c r="J35" s="14">
        <f t="shared" si="10"/>
        <v>5803.6404311999995</v>
      </c>
      <c r="K35" s="14">
        <f t="shared" si="10"/>
        <v>5919.713239823999</v>
      </c>
      <c r="L35" s="14">
        <f t="shared" si="10"/>
        <v>6038.10750462048</v>
      </c>
      <c r="M35" s="14">
        <f t="shared" si="10"/>
        <v>6158.869654712889</v>
      </c>
      <c r="N35" s="14">
        <f t="shared" si="10"/>
        <v>6282.0470478071475</v>
      </c>
      <c r="O35" s="14">
        <f t="shared" si="10"/>
        <v>6407.68798876329</v>
      </c>
    </row>
    <row r="36" spans="1:15" ht="56.25">
      <c r="A36" s="8" t="s">
        <v>46</v>
      </c>
      <c r="B36" s="15"/>
      <c r="C36" s="15"/>
      <c r="D36" s="15"/>
      <c r="E36" s="14">
        <v>0</v>
      </c>
      <c r="F36" s="14">
        <v>0</v>
      </c>
      <c r="G36" s="14"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10"/>
        <v>0</v>
      </c>
      <c r="O36" s="14">
        <f t="shared" si="10"/>
        <v>0</v>
      </c>
    </row>
    <row r="37" spans="1:15" ht="37.5">
      <c r="A37" s="8" t="s">
        <v>47</v>
      </c>
      <c r="B37" s="15"/>
      <c r="C37" s="15"/>
      <c r="D37" s="15"/>
      <c r="E37" s="14">
        <v>0</v>
      </c>
      <c r="F37" s="14">
        <v>0</v>
      </c>
      <c r="G37" s="14">
        <v>0</v>
      </c>
      <c r="H37" s="14">
        <f t="shared" si="10"/>
        <v>0</v>
      </c>
      <c r="I37" s="14">
        <f t="shared" si="10"/>
        <v>0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10"/>
        <v>0</v>
      </c>
      <c r="O37" s="14">
        <f t="shared" si="10"/>
        <v>0</v>
      </c>
    </row>
    <row r="38" spans="1:15" ht="37.5">
      <c r="A38" s="8" t="s">
        <v>48</v>
      </c>
      <c r="B38" s="15">
        <v>178.3</v>
      </c>
      <c r="C38" s="15">
        <v>178.3</v>
      </c>
      <c r="D38" s="15">
        <v>178.3</v>
      </c>
      <c r="E38" s="14">
        <v>0</v>
      </c>
      <c r="F38" s="14">
        <v>0</v>
      </c>
      <c r="G38" s="14">
        <v>0</v>
      </c>
      <c r="H38" s="14">
        <f t="shared" si="10"/>
        <v>0</v>
      </c>
      <c r="I38" s="14">
        <f t="shared" si="10"/>
        <v>0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10"/>
        <v>0</v>
      </c>
      <c r="O38" s="14">
        <f t="shared" si="10"/>
        <v>0</v>
      </c>
    </row>
    <row r="40" spans="1:15" ht="37.5">
      <c r="A40" s="1" t="s">
        <v>0</v>
      </c>
      <c r="B40" s="1" t="s">
        <v>1</v>
      </c>
      <c r="C40" s="1" t="s">
        <v>2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21</v>
      </c>
      <c r="N40" s="1" t="s">
        <v>22</v>
      </c>
      <c r="O40" s="1" t="s">
        <v>3</v>
      </c>
    </row>
    <row r="41" spans="1:15" ht="93.75">
      <c r="A41" s="6" t="s">
        <v>49</v>
      </c>
      <c r="B41" s="14">
        <f>B43+B44+B45+B46+B47+B48+B49+B50+B51+B52+B53+B54+B55+B56</f>
        <v>9564.3</v>
      </c>
      <c r="C41" s="14">
        <f>C43+C44+C45+C46+C47+C48+C49+C50+C51+C52+C53+C54+C55+C56</f>
        <v>9709.3</v>
      </c>
      <c r="D41" s="14">
        <f>D43+D44+D45+D46+D47+D48+D49+D50+D51+D52+D53+D54+D55+D56</f>
        <v>9855.3</v>
      </c>
      <c r="E41" s="14">
        <f>SUM(E43:E52)</f>
        <v>6785</v>
      </c>
      <c r="F41" s="14">
        <f aca="true" t="shared" si="12" ref="F41:O41">SUM(F43:F52)</f>
        <v>6514.9</v>
      </c>
      <c r="G41" s="14">
        <f t="shared" si="12"/>
        <v>6532.9</v>
      </c>
      <c r="H41" s="14">
        <f t="shared" si="12"/>
        <v>6663.6</v>
      </c>
      <c r="I41" s="14">
        <f t="shared" si="12"/>
        <v>6796.8</v>
      </c>
      <c r="J41" s="14">
        <f t="shared" si="12"/>
        <v>6932.8</v>
      </c>
      <c r="K41" s="14">
        <f t="shared" si="12"/>
        <v>7071.4</v>
      </c>
      <c r="L41" s="14">
        <f t="shared" si="12"/>
        <v>7212.8</v>
      </c>
      <c r="M41" s="14">
        <f t="shared" si="12"/>
        <v>7357.1</v>
      </c>
      <c r="N41" s="14">
        <f t="shared" si="12"/>
        <v>7504.200000000001</v>
      </c>
      <c r="O41" s="14">
        <f t="shared" si="12"/>
        <v>7654.3</v>
      </c>
    </row>
    <row r="42" spans="1:15" ht="18.75">
      <c r="A42" s="8" t="s">
        <v>50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>
      <c r="A43" s="8" t="s">
        <v>51</v>
      </c>
      <c r="B43" s="15">
        <v>3291.3</v>
      </c>
      <c r="C43" s="15">
        <v>3343.3</v>
      </c>
      <c r="D43" s="15">
        <v>3393.3</v>
      </c>
      <c r="E43" s="56">
        <v>3563.4</v>
      </c>
      <c r="F43" s="54">
        <v>3123.6</v>
      </c>
      <c r="G43" s="56">
        <v>3113.6</v>
      </c>
      <c r="H43" s="15">
        <v>3571.3</v>
      </c>
      <c r="I43" s="15">
        <v>3615.3</v>
      </c>
      <c r="J43" s="15">
        <v>3660.3</v>
      </c>
      <c r="K43" s="15">
        <v>3706.3</v>
      </c>
      <c r="L43" s="15">
        <v>3750.3</v>
      </c>
      <c r="M43" s="15">
        <v>3790.3</v>
      </c>
      <c r="N43" s="15">
        <v>3835.3</v>
      </c>
      <c r="O43" s="15">
        <v>3886.3</v>
      </c>
    </row>
    <row r="44" spans="1:15" ht="18.75">
      <c r="A44" s="8" t="s">
        <v>52</v>
      </c>
      <c r="B44" s="15"/>
      <c r="C44" s="15"/>
      <c r="D44" s="15"/>
      <c r="E44" s="56"/>
      <c r="F44" s="56"/>
      <c r="G44" s="56"/>
      <c r="H44" s="15"/>
      <c r="I44" s="15"/>
      <c r="J44" s="15"/>
      <c r="K44" s="15"/>
      <c r="L44" s="15"/>
      <c r="M44" s="15"/>
      <c r="N44" s="15"/>
      <c r="O44" s="15"/>
    </row>
    <row r="45" spans="1:15" ht="37.5">
      <c r="A45" s="8" t="s">
        <v>53</v>
      </c>
      <c r="B45" s="15"/>
      <c r="C45" s="15"/>
      <c r="D45" s="15"/>
      <c r="E45" s="56"/>
      <c r="F45" s="56"/>
      <c r="G45" s="56"/>
      <c r="H45" s="15"/>
      <c r="I45" s="15"/>
      <c r="J45" s="15"/>
      <c r="K45" s="15"/>
      <c r="L45" s="15"/>
      <c r="M45" s="15"/>
      <c r="N45" s="15"/>
      <c r="O45" s="15"/>
    </row>
    <row r="46" spans="1:15" ht="18.75">
      <c r="A46" s="8" t="s">
        <v>54</v>
      </c>
      <c r="B46" s="14">
        <v>2200</v>
      </c>
      <c r="C46" s="14">
        <v>2233</v>
      </c>
      <c r="D46" s="14">
        <v>2267</v>
      </c>
      <c r="E46" s="54"/>
      <c r="F46" s="54"/>
      <c r="G46" s="54"/>
      <c r="H46" s="14"/>
      <c r="I46" s="14"/>
      <c r="J46" s="14"/>
      <c r="K46" s="14"/>
      <c r="L46" s="14"/>
      <c r="M46" s="14"/>
      <c r="N46" s="14"/>
      <c r="O46" s="14"/>
    </row>
    <row r="47" spans="1:15" ht="18.75">
      <c r="A47" s="8" t="s">
        <v>55</v>
      </c>
      <c r="B47" s="14">
        <v>478</v>
      </c>
      <c r="C47" s="14">
        <v>485</v>
      </c>
      <c r="D47" s="14">
        <v>493</v>
      </c>
      <c r="E47" s="54">
        <v>501.4</v>
      </c>
      <c r="F47" s="54">
        <v>866.3</v>
      </c>
      <c r="G47" s="54">
        <v>974.3</v>
      </c>
      <c r="H47" s="14">
        <v>518</v>
      </c>
      <c r="I47" s="14">
        <v>525</v>
      </c>
      <c r="J47" s="14">
        <v>530</v>
      </c>
      <c r="K47" s="14">
        <v>537</v>
      </c>
      <c r="L47" s="14">
        <v>543</v>
      </c>
      <c r="M47" s="14">
        <v>550</v>
      </c>
      <c r="N47" s="14">
        <v>555</v>
      </c>
      <c r="O47" s="14">
        <v>560</v>
      </c>
    </row>
    <row r="48" spans="1:15" ht="18.75">
      <c r="A48" s="8" t="s">
        <v>56</v>
      </c>
      <c r="B48" s="14"/>
      <c r="C48" s="14"/>
      <c r="D48" s="14"/>
      <c r="E48" s="54"/>
      <c r="F48" s="54"/>
      <c r="G48" s="54"/>
      <c r="H48" s="14"/>
      <c r="I48" s="14"/>
      <c r="J48" s="14"/>
      <c r="K48" s="14"/>
      <c r="L48" s="14"/>
      <c r="M48" s="14"/>
      <c r="N48" s="14"/>
      <c r="O48" s="14"/>
    </row>
    <row r="49" spans="1:15" ht="18.75">
      <c r="A49" s="8" t="s">
        <v>57</v>
      </c>
      <c r="B49" s="14"/>
      <c r="C49" s="14"/>
      <c r="D49" s="14"/>
      <c r="E49" s="54">
        <v>7</v>
      </c>
      <c r="F49" s="54">
        <v>8</v>
      </c>
      <c r="G49" s="54"/>
      <c r="H49" s="14"/>
      <c r="I49" s="14"/>
      <c r="J49" s="14"/>
      <c r="K49" s="14"/>
      <c r="L49" s="14"/>
      <c r="M49" s="14"/>
      <c r="N49" s="14"/>
      <c r="O49" s="14"/>
    </row>
    <row r="50" spans="1:15" ht="18.75">
      <c r="A50" s="8" t="s">
        <v>58</v>
      </c>
      <c r="B50" s="14">
        <v>3539</v>
      </c>
      <c r="C50" s="14">
        <v>3592</v>
      </c>
      <c r="D50" s="14">
        <v>3646</v>
      </c>
      <c r="E50" s="54">
        <v>2703.2</v>
      </c>
      <c r="F50" s="54">
        <v>2472</v>
      </c>
      <c r="G50" s="54">
        <v>2400</v>
      </c>
      <c r="H50" s="14">
        <f>3835-1305.7</f>
        <v>2529.3</v>
      </c>
      <c r="I50" s="14">
        <v>2611.5</v>
      </c>
      <c r="J50" s="14">
        <v>2697.5</v>
      </c>
      <c r="K50" s="14">
        <v>2783.1</v>
      </c>
      <c r="L50" s="14">
        <v>2874.5</v>
      </c>
      <c r="M50" s="14">
        <v>2971.8</v>
      </c>
      <c r="N50" s="14">
        <v>3068.9</v>
      </c>
      <c r="O50" s="14">
        <v>3163</v>
      </c>
    </row>
    <row r="51" spans="1:15" ht="18.75">
      <c r="A51" s="8" t="s">
        <v>59</v>
      </c>
      <c r="B51" s="14"/>
      <c r="C51" s="14"/>
      <c r="D51" s="14"/>
      <c r="E51" s="54"/>
      <c r="F51" s="54"/>
      <c r="G51" s="54"/>
      <c r="H51" s="14"/>
      <c r="I51" s="14"/>
      <c r="J51" s="14"/>
      <c r="K51" s="14"/>
      <c r="L51" s="14"/>
      <c r="M51" s="14"/>
      <c r="N51" s="14"/>
      <c r="O51" s="14"/>
    </row>
    <row r="52" spans="1:15" ht="18.75">
      <c r="A52" s="8" t="s">
        <v>60</v>
      </c>
      <c r="B52" s="14">
        <v>56</v>
      </c>
      <c r="C52" s="14">
        <v>56</v>
      </c>
      <c r="D52" s="14">
        <v>56</v>
      </c>
      <c r="E52" s="54">
        <v>10</v>
      </c>
      <c r="F52" s="54">
        <v>45</v>
      </c>
      <c r="G52" s="54">
        <v>45</v>
      </c>
      <c r="H52" s="14">
        <v>45</v>
      </c>
      <c r="I52" s="14">
        <v>45</v>
      </c>
      <c r="J52" s="14">
        <v>45</v>
      </c>
      <c r="K52" s="14">
        <v>45</v>
      </c>
      <c r="L52" s="14">
        <v>45</v>
      </c>
      <c r="M52" s="14">
        <v>45</v>
      </c>
      <c r="N52" s="14">
        <v>45</v>
      </c>
      <c r="O52" s="14">
        <v>45</v>
      </c>
    </row>
    <row r="53" spans="1:15" ht="18.75">
      <c r="A53" s="8" t="s">
        <v>61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8.75">
      <c r="A54" s="8" t="s">
        <v>62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37.5">
      <c r="A55" s="8" t="s">
        <v>63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75">
      <c r="A56" s="8" t="s">
        <v>64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8" spans="1:15" ht="37.5">
      <c r="A58" s="1" t="s">
        <v>0</v>
      </c>
      <c r="B58" s="1" t="s">
        <v>1</v>
      </c>
      <c r="C58" s="1" t="s">
        <v>2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21</v>
      </c>
      <c r="N58" s="1" t="s">
        <v>22</v>
      </c>
      <c r="O58" s="1" t="s">
        <v>3</v>
      </c>
    </row>
    <row r="59" spans="1:15" ht="18.75">
      <c r="A59" s="6" t="s">
        <v>65</v>
      </c>
      <c r="B59" s="14">
        <f>B60+B61+B62+B63</f>
        <v>0</v>
      </c>
      <c r="C59" s="14">
        <f aca="true" t="shared" si="13" ref="C59:O59">C60+C61+C62+C63</f>
        <v>0</v>
      </c>
      <c r="D59" s="14">
        <f t="shared" si="13"/>
        <v>0</v>
      </c>
      <c r="E59" s="14">
        <f t="shared" si="13"/>
        <v>0</v>
      </c>
      <c r="F59" s="14">
        <f t="shared" si="13"/>
        <v>0</v>
      </c>
      <c r="G59" s="14">
        <f t="shared" si="13"/>
        <v>0</v>
      </c>
      <c r="H59" s="14">
        <f t="shared" si="13"/>
        <v>0</v>
      </c>
      <c r="I59" s="14">
        <f t="shared" si="13"/>
        <v>0</v>
      </c>
      <c r="J59" s="14">
        <f t="shared" si="13"/>
        <v>0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</row>
    <row r="60" spans="1:15" ht="18.75">
      <c r="A60" s="8" t="s">
        <v>66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1:15" ht="18.75">
      <c r="A61" s="8" t="s">
        <v>67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ht="18.75">
      <c r="A62" s="8" t="s">
        <v>68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ht="18.75">
      <c r="A63" s="8" t="s">
        <v>69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="80" zoomScaleNormal="80" zoomScalePageLayoutView="0" workbookViewId="0" topLeftCell="A1">
      <selection activeCell="T19" sqref="T19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1.57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s="16" customFormat="1" ht="18.75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18" t="s">
        <v>0</v>
      </c>
      <c r="B3" s="18" t="s">
        <v>1</v>
      </c>
      <c r="C3" s="18" t="s">
        <v>2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18" t="s">
        <v>3</v>
      </c>
    </row>
    <row r="4" spans="1:15" ht="47.25">
      <c r="A4" s="19" t="s">
        <v>4</v>
      </c>
      <c r="B4" s="18">
        <f>B5+B8</f>
        <v>44707.100000000006</v>
      </c>
      <c r="C4" s="20">
        <f aca="true" t="shared" si="0" ref="C4:O4">C5+C8</f>
        <v>45424.71600000001</v>
      </c>
      <c r="D4" s="20">
        <f t="shared" si="0"/>
        <v>46425.73842000001</v>
      </c>
      <c r="E4" s="20">
        <f t="shared" si="0"/>
        <v>45867.4</v>
      </c>
      <c r="F4" s="20">
        <f t="shared" si="0"/>
        <v>46612</v>
      </c>
      <c r="G4" s="20">
        <f t="shared" si="0"/>
        <v>47132.4</v>
      </c>
      <c r="H4" s="20">
        <f t="shared" si="0"/>
        <v>47808.178863622656</v>
      </c>
      <c r="I4" s="20">
        <f t="shared" si="0"/>
        <v>48615.36728902645</v>
      </c>
      <c r="J4" s="20">
        <f t="shared" si="0"/>
        <v>49446.17024846562</v>
      </c>
      <c r="K4" s="20">
        <f t="shared" si="0"/>
        <v>50301.71099625449</v>
      </c>
      <c r="L4" s="20">
        <f t="shared" si="0"/>
        <v>51183.20789597483</v>
      </c>
      <c r="M4" s="20">
        <f t="shared" si="0"/>
        <v>52091.98453066456</v>
      </c>
      <c r="N4" s="20">
        <f t="shared" si="0"/>
        <v>53029.48098059313</v>
      </c>
      <c r="O4" s="20">
        <f t="shared" si="0"/>
        <v>53997.26640655142</v>
      </c>
    </row>
    <row r="5" spans="1:15" ht="15.75">
      <c r="A5" s="21" t="s">
        <v>5</v>
      </c>
      <c r="B5" s="22">
        <f>B17</f>
        <v>34980.200000000004</v>
      </c>
      <c r="C5" s="23">
        <f aca="true" t="shared" si="1" ref="C5:O6">C17</f>
        <v>35964.816000000006</v>
      </c>
      <c r="D5" s="23">
        <f t="shared" si="1"/>
        <v>36971.938420000006</v>
      </c>
      <c r="E5" s="23">
        <f t="shared" si="1"/>
        <v>38474.6</v>
      </c>
      <c r="F5" s="23">
        <f t="shared" si="1"/>
        <v>39219.2</v>
      </c>
      <c r="G5" s="23">
        <f t="shared" si="1"/>
        <v>39739.6</v>
      </c>
      <c r="H5" s="23">
        <f t="shared" si="1"/>
        <v>40415.37886362265</v>
      </c>
      <c r="I5" s="23">
        <f t="shared" si="1"/>
        <v>41222.56728902645</v>
      </c>
      <c r="J5" s="23">
        <f t="shared" si="1"/>
        <v>42053.37024846562</v>
      </c>
      <c r="K5" s="23">
        <f t="shared" si="1"/>
        <v>42908.91099625449</v>
      </c>
      <c r="L5" s="23">
        <f t="shared" si="1"/>
        <v>43790.40789597483</v>
      </c>
      <c r="M5" s="23">
        <f t="shared" si="1"/>
        <v>44699.184530664555</v>
      </c>
      <c r="N5" s="23">
        <f t="shared" si="1"/>
        <v>45636.680980593126</v>
      </c>
      <c r="O5" s="23">
        <f t="shared" si="1"/>
        <v>46604.466406551415</v>
      </c>
    </row>
    <row r="6" spans="1:15" ht="15.75">
      <c r="A6" s="24" t="s">
        <v>6</v>
      </c>
      <c r="B6" s="25">
        <f>B18</f>
        <v>34094.200000000004</v>
      </c>
      <c r="C6" s="23">
        <f t="shared" si="1"/>
        <v>35078.823000000004</v>
      </c>
      <c r="D6" s="23">
        <f t="shared" si="1"/>
        <v>36077.42441000001</v>
      </c>
      <c r="E6" s="23">
        <f t="shared" si="1"/>
        <v>37742.6</v>
      </c>
      <c r="F6" s="23">
        <f t="shared" si="1"/>
        <v>38486.2</v>
      </c>
      <c r="G6" s="23">
        <f t="shared" si="1"/>
        <v>39006.1</v>
      </c>
      <c r="H6" s="23">
        <f t="shared" si="1"/>
        <v>39608.095</v>
      </c>
      <c r="I6" s="23">
        <f t="shared" si="1"/>
        <v>40381.31467000001</v>
      </c>
      <c r="J6" s="23">
        <f t="shared" si="1"/>
        <v>41172.21406414001</v>
      </c>
      <c r="K6" s="23">
        <f t="shared" si="1"/>
        <v>41981.26287632429</v>
      </c>
      <c r="L6" s="23">
        <f t="shared" si="1"/>
        <v>42808.94600997206</v>
      </c>
      <c r="M6" s="23">
        <f t="shared" si="1"/>
        <v>43655.76417301093</v>
      </c>
      <c r="N6" s="23">
        <f t="shared" si="1"/>
        <v>44522.234499310456</v>
      </c>
      <c r="O6" s="23">
        <f t="shared" si="1"/>
        <v>45408.89119781154</v>
      </c>
    </row>
    <row r="7" spans="1:15" ht="15.75">
      <c r="A7" s="24" t="s">
        <v>7</v>
      </c>
      <c r="B7" s="25">
        <f>B29</f>
        <v>886</v>
      </c>
      <c r="C7" s="23">
        <f aca="true" t="shared" si="2" ref="C7:O7">C29</f>
        <v>885.993</v>
      </c>
      <c r="D7" s="23">
        <f t="shared" si="2"/>
        <v>894.5140100000001</v>
      </c>
      <c r="E7" s="23">
        <f t="shared" si="2"/>
        <v>732</v>
      </c>
      <c r="F7" s="23">
        <f t="shared" si="2"/>
        <v>733</v>
      </c>
      <c r="G7" s="23">
        <f t="shared" si="2"/>
        <v>733.5</v>
      </c>
      <c r="H7" s="23">
        <f t="shared" si="2"/>
        <v>807.2838636226522</v>
      </c>
      <c r="I7" s="23">
        <f t="shared" si="2"/>
        <v>841.2526190264385</v>
      </c>
      <c r="J7" s="23">
        <f t="shared" si="2"/>
        <v>881.1561843256072</v>
      </c>
      <c r="K7" s="23">
        <f t="shared" si="2"/>
        <v>927.6481199301962</v>
      </c>
      <c r="L7" s="23">
        <f t="shared" si="2"/>
        <v>981.4618860027706</v>
      </c>
      <c r="M7" s="23">
        <f t="shared" si="2"/>
        <v>1043.4203576536254</v>
      </c>
      <c r="N7" s="23">
        <f t="shared" si="2"/>
        <v>1114.4464812826668</v>
      </c>
      <c r="O7" s="23">
        <f t="shared" si="2"/>
        <v>1195.5752087398753</v>
      </c>
    </row>
    <row r="8" spans="1:15" ht="47.25">
      <c r="A8" s="21" t="s">
        <v>8</v>
      </c>
      <c r="B8" s="25">
        <f>B39</f>
        <v>9726.9</v>
      </c>
      <c r="C8" s="23">
        <f aca="true" t="shared" si="3" ref="C8:O8">C39</f>
        <v>9459.9</v>
      </c>
      <c r="D8" s="23">
        <f t="shared" si="3"/>
        <v>9453.8</v>
      </c>
      <c r="E8" s="23">
        <f t="shared" si="3"/>
        <v>7392.8</v>
      </c>
      <c r="F8" s="23">
        <f t="shared" si="3"/>
        <v>7392.8</v>
      </c>
      <c r="G8" s="23">
        <f t="shared" si="3"/>
        <v>7392.8</v>
      </c>
      <c r="H8" s="23">
        <f t="shared" si="3"/>
        <v>7392.8</v>
      </c>
      <c r="I8" s="23">
        <f t="shared" si="3"/>
        <v>7392.8</v>
      </c>
      <c r="J8" s="23">
        <f t="shared" si="3"/>
        <v>7392.8</v>
      </c>
      <c r="K8" s="23">
        <f t="shared" si="3"/>
        <v>7392.8</v>
      </c>
      <c r="L8" s="23">
        <f t="shared" si="3"/>
        <v>7392.8</v>
      </c>
      <c r="M8" s="23">
        <f t="shared" si="3"/>
        <v>7392.8</v>
      </c>
      <c r="N8" s="23">
        <f t="shared" si="3"/>
        <v>7392.8</v>
      </c>
      <c r="O8" s="23">
        <f t="shared" si="3"/>
        <v>7392.8</v>
      </c>
    </row>
    <row r="9" spans="1:15" ht="63">
      <c r="A9" s="19" t="s">
        <v>9</v>
      </c>
      <c r="B9" s="18" t="e">
        <f>B48</f>
        <v>#REF!</v>
      </c>
      <c r="C9" s="20" t="e">
        <f>C48</f>
        <v>#REF!</v>
      </c>
      <c r="D9" s="20" t="e">
        <f>D48</f>
        <v>#REF!</v>
      </c>
      <c r="E9" s="20">
        <f>E48</f>
        <v>47529.19999999999</v>
      </c>
      <c r="F9" s="20">
        <f aca="true" t="shared" si="4" ref="F9:O9">F48</f>
        <v>46761.5</v>
      </c>
      <c r="G9" s="20">
        <f t="shared" si="4"/>
        <v>47307.399999999994</v>
      </c>
      <c r="H9" s="20">
        <f t="shared" si="4"/>
        <v>47808.19999999999</v>
      </c>
      <c r="I9" s="20">
        <f t="shared" si="4"/>
        <v>48615.399999999994</v>
      </c>
      <c r="J9" s="20">
        <f t="shared" si="4"/>
        <v>49446.200000000004</v>
      </c>
      <c r="K9" s="20">
        <f t="shared" si="4"/>
        <v>50301.700000000004</v>
      </c>
      <c r="L9" s="20">
        <f t="shared" si="4"/>
        <v>51183.2</v>
      </c>
      <c r="M9" s="20">
        <f t="shared" si="4"/>
        <v>52091.99999999999</v>
      </c>
      <c r="N9" s="20">
        <f t="shared" si="4"/>
        <v>53029.49999999999</v>
      </c>
      <c r="O9" s="20">
        <f t="shared" si="4"/>
        <v>53997.299999999996</v>
      </c>
    </row>
    <row r="10" spans="1:15" s="55" customFormat="1" ht="15.75">
      <c r="A10" s="62" t="s">
        <v>10</v>
      </c>
      <c r="B10" s="63" t="e">
        <f>B4-B9</f>
        <v>#REF!</v>
      </c>
      <c r="C10" s="63" t="e">
        <f>C4-C9</f>
        <v>#REF!</v>
      </c>
      <c r="D10" s="63" t="e">
        <f>D4-D9</f>
        <v>#REF!</v>
      </c>
      <c r="E10" s="63">
        <f>E4-E9</f>
        <v>-1661.7999999999884</v>
      </c>
      <c r="F10" s="63">
        <f aca="true" t="shared" si="5" ref="F10:O10">F4-F9</f>
        <v>-149.5</v>
      </c>
      <c r="G10" s="63">
        <f t="shared" si="5"/>
        <v>-174.99999999999272</v>
      </c>
      <c r="H10" s="63">
        <f t="shared" si="5"/>
        <v>-0.021136377334187273</v>
      </c>
      <c r="I10" s="63">
        <f t="shared" si="5"/>
        <v>-0.032710973544453736</v>
      </c>
      <c r="J10" s="63">
        <f t="shared" si="5"/>
        <v>-0.02975153438455891</v>
      </c>
      <c r="K10" s="63">
        <f t="shared" si="5"/>
        <v>0.010996254488418344</v>
      </c>
      <c r="L10" s="63">
        <f t="shared" si="5"/>
        <v>0.007895974835264497</v>
      </c>
      <c r="M10" s="63">
        <f t="shared" si="5"/>
        <v>-0.015469335434318054</v>
      </c>
      <c r="N10" s="63">
        <f t="shared" si="5"/>
        <v>-0.01901940686366288</v>
      </c>
      <c r="O10" s="63">
        <f t="shared" si="5"/>
        <v>-0.033593448577448726</v>
      </c>
    </row>
    <row r="11" spans="1:15" ht="15.75">
      <c r="A11" s="19" t="s">
        <v>11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15" ht="15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5.75">
      <c r="A13" s="76" t="s">
        <v>84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5.75">
      <c r="A14" s="2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.75">
      <c r="A15" s="18" t="s">
        <v>0</v>
      </c>
      <c r="B15" s="18" t="s">
        <v>1</v>
      </c>
      <c r="C15" s="18" t="s">
        <v>2</v>
      </c>
      <c r="D15" s="18" t="s">
        <v>12</v>
      </c>
      <c r="E15" s="18" t="s">
        <v>13</v>
      </c>
      <c r="F15" s="18" t="s">
        <v>14</v>
      </c>
      <c r="G15" s="18" t="s">
        <v>15</v>
      </c>
      <c r="H15" s="18" t="s">
        <v>16</v>
      </c>
      <c r="I15" s="18" t="s">
        <v>17</v>
      </c>
      <c r="J15" s="18" t="s">
        <v>18</v>
      </c>
      <c r="K15" s="18" t="s">
        <v>19</v>
      </c>
      <c r="L15" s="18" t="s">
        <v>20</v>
      </c>
      <c r="M15" s="18" t="s">
        <v>21</v>
      </c>
      <c r="N15" s="18" t="s">
        <v>22</v>
      </c>
      <c r="O15" s="18" t="s">
        <v>3</v>
      </c>
    </row>
    <row r="16" spans="1:15" s="30" customFormat="1" ht="47.25">
      <c r="A16" s="29" t="s">
        <v>23</v>
      </c>
      <c r="B16" s="18">
        <f aca="true" t="shared" si="6" ref="B16:O16">SUM(B17+B39)</f>
        <v>44707.100000000006</v>
      </c>
      <c r="C16" s="20">
        <f t="shared" si="6"/>
        <v>45424.71600000001</v>
      </c>
      <c r="D16" s="20">
        <f t="shared" si="6"/>
        <v>46425.73842000001</v>
      </c>
      <c r="E16" s="20">
        <f t="shared" si="6"/>
        <v>45867.4</v>
      </c>
      <c r="F16" s="20">
        <f t="shared" si="6"/>
        <v>46612</v>
      </c>
      <c r="G16" s="20">
        <f t="shared" si="6"/>
        <v>47132.4</v>
      </c>
      <c r="H16" s="20">
        <f t="shared" si="6"/>
        <v>47808.178863622656</v>
      </c>
      <c r="I16" s="20">
        <f t="shared" si="6"/>
        <v>48615.36728902645</v>
      </c>
      <c r="J16" s="20">
        <f t="shared" si="6"/>
        <v>49446.17024846562</v>
      </c>
      <c r="K16" s="20">
        <f t="shared" si="6"/>
        <v>50301.71099625449</v>
      </c>
      <c r="L16" s="20">
        <f t="shared" si="6"/>
        <v>51183.20789597483</v>
      </c>
      <c r="M16" s="20">
        <f t="shared" si="6"/>
        <v>52091.98453066456</v>
      </c>
      <c r="N16" s="20">
        <f t="shared" si="6"/>
        <v>53029.48098059313</v>
      </c>
      <c r="O16" s="20">
        <f t="shared" si="6"/>
        <v>53997.26640655142</v>
      </c>
    </row>
    <row r="17" spans="1:15" s="30" customFormat="1" ht="15.75">
      <c r="A17" s="29" t="s">
        <v>24</v>
      </c>
      <c r="B17" s="18">
        <f>SUM(B18+B29)</f>
        <v>34980.200000000004</v>
      </c>
      <c r="C17" s="20">
        <f aca="true" t="shared" si="7" ref="C17:O17">SUM(C18+C29)</f>
        <v>35964.816000000006</v>
      </c>
      <c r="D17" s="20">
        <f t="shared" si="7"/>
        <v>36971.938420000006</v>
      </c>
      <c r="E17" s="20">
        <f t="shared" si="7"/>
        <v>38474.6</v>
      </c>
      <c r="F17" s="20">
        <f t="shared" si="7"/>
        <v>39219.2</v>
      </c>
      <c r="G17" s="20">
        <f t="shared" si="7"/>
        <v>39739.6</v>
      </c>
      <c r="H17" s="20">
        <f t="shared" si="7"/>
        <v>40415.37886362265</v>
      </c>
      <c r="I17" s="20">
        <f t="shared" si="7"/>
        <v>41222.56728902645</v>
      </c>
      <c r="J17" s="20">
        <f t="shared" si="7"/>
        <v>42053.37024846562</v>
      </c>
      <c r="K17" s="20">
        <f t="shared" si="7"/>
        <v>42908.91099625449</v>
      </c>
      <c r="L17" s="20">
        <f t="shared" si="7"/>
        <v>43790.40789597483</v>
      </c>
      <c r="M17" s="20">
        <f t="shared" si="7"/>
        <v>44699.184530664555</v>
      </c>
      <c r="N17" s="20">
        <f t="shared" si="7"/>
        <v>45636.680980593126</v>
      </c>
      <c r="O17" s="20">
        <f t="shared" si="7"/>
        <v>46604.466406551415</v>
      </c>
    </row>
    <row r="18" spans="1:15" s="33" customFormat="1" ht="15.75">
      <c r="A18" s="31" t="s">
        <v>25</v>
      </c>
      <c r="B18" s="32">
        <f>SUM(B19:B28)</f>
        <v>34094.200000000004</v>
      </c>
      <c r="C18" s="20">
        <f aca="true" t="shared" si="8" ref="C18:O18">SUM(C19:C28)</f>
        <v>35078.823000000004</v>
      </c>
      <c r="D18" s="20">
        <f t="shared" si="8"/>
        <v>36077.42441000001</v>
      </c>
      <c r="E18" s="20">
        <f t="shared" si="8"/>
        <v>37742.6</v>
      </c>
      <c r="F18" s="20">
        <f t="shared" si="8"/>
        <v>38486.2</v>
      </c>
      <c r="G18" s="20">
        <f t="shared" si="8"/>
        <v>39006.1</v>
      </c>
      <c r="H18" s="20">
        <f t="shared" si="8"/>
        <v>39608.095</v>
      </c>
      <c r="I18" s="20">
        <f t="shared" si="8"/>
        <v>40381.31467000001</v>
      </c>
      <c r="J18" s="20">
        <f t="shared" si="8"/>
        <v>41172.21406414001</v>
      </c>
      <c r="K18" s="20">
        <f t="shared" si="8"/>
        <v>41981.26287632429</v>
      </c>
      <c r="L18" s="20">
        <f t="shared" si="8"/>
        <v>42808.94600997206</v>
      </c>
      <c r="M18" s="20">
        <f t="shared" si="8"/>
        <v>43655.76417301093</v>
      </c>
      <c r="N18" s="20">
        <f t="shared" si="8"/>
        <v>44522.234499310456</v>
      </c>
      <c r="O18" s="20">
        <f t="shared" si="8"/>
        <v>45408.89119781154</v>
      </c>
    </row>
    <row r="19" spans="1:15" ht="15.75">
      <c r="A19" s="34" t="s">
        <v>26</v>
      </c>
      <c r="B19" s="22">
        <v>28487.9</v>
      </c>
      <c r="C19" s="23">
        <f>B19*1.02</f>
        <v>29057.658000000003</v>
      </c>
      <c r="D19" s="23">
        <f aca="true" t="shared" si="9" ref="D19:O19">C19*1.02</f>
        <v>29638.811160000005</v>
      </c>
      <c r="E19" s="23">
        <v>32665.5</v>
      </c>
      <c r="F19" s="23">
        <v>33344.1</v>
      </c>
      <c r="G19" s="23">
        <v>33799</v>
      </c>
      <c r="H19" s="23">
        <f t="shared" si="9"/>
        <v>34474.98</v>
      </c>
      <c r="I19" s="23">
        <f t="shared" si="9"/>
        <v>35164.479600000006</v>
      </c>
      <c r="J19" s="23">
        <f t="shared" si="9"/>
        <v>35867.76919200001</v>
      </c>
      <c r="K19" s="23">
        <f t="shared" si="9"/>
        <v>36585.12457584001</v>
      </c>
      <c r="L19" s="23">
        <f t="shared" si="9"/>
        <v>37316.82706735681</v>
      </c>
      <c r="M19" s="23">
        <f t="shared" si="9"/>
        <v>38063.16360870395</v>
      </c>
      <c r="N19" s="23">
        <f t="shared" si="9"/>
        <v>38824.42688087803</v>
      </c>
      <c r="O19" s="23">
        <f t="shared" si="9"/>
        <v>39600.91541849559</v>
      </c>
    </row>
    <row r="20" spans="1:15" ht="47.25">
      <c r="A20" s="34" t="s">
        <v>27</v>
      </c>
      <c r="B20" s="22">
        <v>1033.3</v>
      </c>
      <c r="C20" s="23">
        <f>B20*1.05</f>
        <v>1084.965</v>
      </c>
      <c r="D20" s="23">
        <f aca="true" t="shared" si="10" ref="D20:O20">C20*1.05</f>
        <v>1139.21325</v>
      </c>
      <c r="E20" s="23">
        <v>1477.1</v>
      </c>
      <c r="F20" s="23">
        <v>1477.1</v>
      </c>
      <c r="G20" s="23">
        <v>1477.1</v>
      </c>
      <c r="H20" s="23">
        <f t="shared" si="10"/>
        <v>1550.955</v>
      </c>
      <c r="I20" s="23">
        <f t="shared" si="10"/>
        <v>1628.50275</v>
      </c>
      <c r="J20" s="23">
        <f t="shared" si="10"/>
        <v>1709.9278875000002</v>
      </c>
      <c r="K20" s="23">
        <f t="shared" si="10"/>
        <v>1795.4242818750004</v>
      </c>
      <c r="L20" s="23">
        <f t="shared" si="10"/>
        <v>1885.1954959687505</v>
      </c>
      <c r="M20" s="23">
        <f t="shared" si="10"/>
        <v>1979.455270767188</v>
      </c>
      <c r="N20" s="23">
        <f t="shared" si="10"/>
        <v>2078.4280343055475</v>
      </c>
      <c r="O20" s="23">
        <f t="shared" si="10"/>
        <v>2182.349436020825</v>
      </c>
    </row>
    <row r="21" spans="1:15" ht="31.5">
      <c r="A21" s="34" t="s">
        <v>28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15.75">
      <c r="A22" s="34" t="s">
        <v>29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ht="31.5">
      <c r="A23" s="34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ht="15.75">
      <c r="A24" s="34" t="s">
        <v>31</v>
      </c>
      <c r="B24" s="22">
        <v>198.4</v>
      </c>
      <c r="C24" s="22">
        <v>297.6</v>
      </c>
      <c r="D24" s="22">
        <v>396.8</v>
      </c>
      <c r="E24" s="22">
        <v>630</v>
      </c>
      <c r="F24" s="22">
        <v>640</v>
      </c>
      <c r="G24" s="22">
        <v>650</v>
      </c>
      <c r="H24" s="22">
        <v>496</v>
      </c>
      <c r="I24" s="22">
        <v>496</v>
      </c>
      <c r="J24" s="22">
        <v>496</v>
      </c>
      <c r="K24" s="22">
        <v>496</v>
      </c>
      <c r="L24" s="22">
        <v>496</v>
      </c>
      <c r="M24" s="22">
        <v>496</v>
      </c>
      <c r="N24" s="22">
        <v>496</v>
      </c>
      <c r="O24" s="22">
        <v>496</v>
      </c>
    </row>
    <row r="25" spans="1:15" ht="15.75">
      <c r="A25" s="34" t="s">
        <v>32</v>
      </c>
      <c r="B25" s="22">
        <v>4374.6</v>
      </c>
      <c r="C25" s="22">
        <v>4638.6</v>
      </c>
      <c r="D25" s="22">
        <v>4902.6</v>
      </c>
      <c r="E25" s="22">
        <v>2970</v>
      </c>
      <c r="F25" s="35">
        <v>3025</v>
      </c>
      <c r="G25" s="35">
        <v>3080</v>
      </c>
      <c r="H25" s="35">
        <f aca="true" t="shared" si="11" ref="H25:O25">G25*1.002</f>
        <v>3086.16</v>
      </c>
      <c r="I25" s="35">
        <f t="shared" si="11"/>
        <v>3092.33232</v>
      </c>
      <c r="J25" s="35">
        <f t="shared" si="11"/>
        <v>3098.51698464</v>
      </c>
      <c r="K25" s="35">
        <f t="shared" si="11"/>
        <v>3104.7140186092797</v>
      </c>
      <c r="L25" s="35">
        <f t="shared" si="11"/>
        <v>3110.923446646498</v>
      </c>
      <c r="M25" s="35">
        <f t="shared" si="11"/>
        <v>3117.145293539791</v>
      </c>
      <c r="N25" s="35">
        <f t="shared" si="11"/>
        <v>3123.3795841268707</v>
      </c>
      <c r="O25" s="35">
        <f t="shared" si="11"/>
        <v>3129.6263432951246</v>
      </c>
    </row>
    <row r="26" spans="1:15" ht="31.5">
      <c r="A26" s="34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1:15" ht="15.75">
      <c r="A27" s="34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1:15" ht="47.25">
      <c r="A28" s="34" t="s">
        <v>35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s="30" customFormat="1" ht="15.75">
      <c r="A29" s="36" t="s">
        <v>36</v>
      </c>
      <c r="B29" s="20">
        <f>SUM(B31:B38)</f>
        <v>886</v>
      </c>
      <c r="C29" s="20">
        <f aca="true" t="shared" si="12" ref="C29:O29">SUM(C31:C38)</f>
        <v>885.993</v>
      </c>
      <c r="D29" s="20">
        <f t="shared" si="12"/>
        <v>894.5140100000001</v>
      </c>
      <c r="E29" s="20">
        <f>E30+E33+E34+E35+E36+E37+E38</f>
        <v>732</v>
      </c>
      <c r="F29" s="20">
        <f>F30+F33+F34+F35+F36+F37+F38</f>
        <v>733</v>
      </c>
      <c r="G29" s="20">
        <f>G30+G33+G34+G35+G36+G37+G38</f>
        <v>733.5</v>
      </c>
      <c r="H29" s="20">
        <f t="shared" si="12"/>
        <v>807.2838636226522</v>
      </c>
      <c r="I29" s="20">
        <f t="shared" si="12"/>
        <v>841.2526190264385</v>
      </c>
      <c r="J29" s="20">
        <f t="shared" si="12"/>
        <v>881.1561843256072</v>
      </c>
      <c r="K29" s="20">
        <f t="shared" si="12"/>
        <v>927.6481199301962</v>
      </c>
      <c r="L29" s="20">
        <f t="shared" si="12"/>
        <v>981.4618860027706</v>
      </c>
      <c r="M29" s="20">
        <f t="shared" si="12"/>
        <v>1043.4203576536254</v>
      </c>
      <c r="N29" s="20">
        <f t="shared" si="12"/>
        <v>1114.4464812826668</v>
      </c>
      <c r="O29" s="20">
        <f t="shared" si="12"/>
        <v>1195.5752087398753</v>
      </c>
    </row>
    <row r="30" spans="1:15" ht="47.25">
      <c r="A30" s="34" t="s">
        <v>37</v>
      </c>
      <c r="B30" s="22">
        <f>B31+B32</f>
        <v>693.4</v>
      </c>
      <c r="C30" s="23">
        <f aca="true" t="shared" si="13" ref="C30:O30">C31+C32</f>
        <v>701.3530000000001</v>
      </c>
      <c r="D30" s="23">
        <f t="shared" si="13"/>
        <v>712.51801</v>
      </c>
      <c r="E30" s="23">
        <v>722</v>
      </c>
      <c r="F30" s="23">
        <v>723</v>
      </c>
      <c r="G30" s="23">
        <v>723.5</v>
      </c>
      <c r="H30" s="23">
        <f t="shared" si="13"/>
        <v>796.2838636226522</v>
      </c>
      <c r="I30" s="23">
        <f t="shared" si="13"/>
        <v>829.1526190264385</v>
      </c>
      <c r="J30" s="23">
        <f t="shared" si="13"/>
        <v>867.8461843256073</v>
      </c>
      <c r="K30" s="23">
        <f t="shared" si="13"/>
        <v>913.0071199301963</v>
      </c>
      <c r="L30" s="23">
        <f t="shared" si="13"/>
        <v>965.3567860027706</v>
      </c>
      <c r="M30" s="23">
        <f t="shared" si="13"/>
        <v>1025.7047476536254</v>
      </c>
      <c r="N30" s="23">
        <f t="shared" si="13"/>
        <v>1094.9593102826668</v>
      </c>
      <c r="O30" s="23">
        <f t="shared" si="13"/>
        <v>1174.1393206398752</v>
      </c>
    </row>
    <row r="31" spans="1:15" ht="15.75" hidden="1">
      <c r="A31" s="37" t="s">
        <v>72</v>
      </c>
      <c r="B31" s="38">
        <v>191.7</v>
      </c>
      <c r="C31" s="39">
        <f>B31*1.12</f>
        <v>214.704</v>
      </c>
      <c r="D31" s="39">
        <f aca="true" t="shared" si="14" ref="D31:O31">C31*1.12</f>
        <v>240.46848000000003</v>
      </c>
      <c r="E31" s="39">
        <f t="shared" si="14"/>
        <v>269.32469760000004</v>
      </c>
      <c r="F31" s="39">
        <f t="shared" si="14"/>
        <v>301.64366131200006</v>
      </c>
      <c r="G31" s="39">
        <f t="shared" si="14"/>
        <v>337.8409006694401</v>
      </c>
      <c r="H31" s="39">
        <f t="shared" si="14"/>
        <v>378.3818087497729</v>
      </c>
      <c r="I31" s="39">
        <f t="shared" si="14"/>
        <v>423.7876257997457</v>
      </c>
      <c r="J31" s="39">
        <f t="shared" si="14"/>
        <v>474.6421408957152</v>
      </c>
      <c r="K31" s="39">
        <f t="shared" si="14"/>
        <v>531.599197803201</v>
      </c>
      <c r="L31" s="39">
        <f t="shared" si="14"/>
        <v>595.3911015395852</v>
      </c>
      <c r="M31" s="39">
        <f t="shared" si="14"/>
        <v>666.8380337243354</v>
      </c>
      <c r="N31" s="39">
        <f t="shared" si="14"/>
        <v>746.8585977712557</v>
      </c>
      <c r="O31" s="39">
        <f t="shared" si="14"/>
        <v>836.4816295038065</v>
      </c>
    </row>
    <row r="32" spans="1:15" ht="15.75" hidden="1">
      <c r="A32" s="37" t="s">
        <v>73</v>
      </c>
      <c r="B32" s="38">
        <v>501.7</v>
      </c>
      <c r="C32" s="39">
        <f>B32*0.97</f>
        <v>486.649</v>
      </c>
      <c r="D32" s="39">
        <f aca="true" t="shared" si="15" ref="D32:O32">C32*0.97</f>
        <v>472.04953</v>
      </c>
      <c r="E32" s="39">
        <f t="shared" si="15"/>
        <v>457.8880441</v>
      </c>
      <c r="F32" s="39">
        <f t="shared" si="15"/>
        <v>444.151402777</v>
      </c>
      <c r="G32" s="39">
        <f t="shared" si="15"/>
        <v>430.82686069369</v>
      </c>
      <c r="H32" s="39">
        <f t="shared" si="15"/>
        <v>417.90205487287926</v>
      </c>
      <c r="I32" s="39">
        <f t="shared" si="15"/>
        <v>405.3649932266929</v>
      </c>
      <c r="J32" s="39">
        <f t="shared" si="15"/>
        <v>393.20404342989207</v>
      </c>
      <c r="K32" s="39">
        <f t="shared" si="15"/>
        <v>381.4079221269953</v>
      </c>
      <c r="L32" s="39">
        <f t="shared" si="15"/>
        <v>369.9656844631854</v>
      </c>
      <c r="M32" s="39">
        <f t="shared" si="15"/>
        <v>358.86671392928986</v>
      </c>
      <c r="N32" s="39">
        <f t="shared" si="15"/>
        <v>348.10071251141113</v>
      </c>
      <c r="O32" s="39">
        <f t="shared" si="15"/>
        <v>337.65769113606876</v>
      </c>
    </row>
    <row r="33" spans="1:15" ht="31.5">
      <c r="A33" s="34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ht="31.5">
      <c r="A34" s="34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</row>
    <row r="35" spans="1:15" ht="31.5">
      <c r="A35" s="34" t="s">
        <v>40</v>
      </c>
      <c r="B35" s="22">
        <v>22.6</v>
      </c>
      <c r="C35" s="23">
        <f>B35*1.4</f>
        <v>31.64</v>
      </c>
      <c r="D35" s="23">
        <f>C35*1.4</f>
        <v>44.296</v>
      </c>
      <c r="E35" s="23">
        <v>10</v>
      </c>
      <c r="F35" s="23">
        <v>10</v>
      </c>
      <c r="G35" s="23">
        <v>10</v>
      </c>
      <c r="H35" s="23">
        <f>G35*1.1</f>
        <v>11</v>
      </c>
      <c r="I35" s="23">
        <f aca="true" t="shared" si="16" ref="I35:O35">H35*1.1</f>
        <v>12.100000000000001</v>
      </c>
      <c r="J35" s="23">
        <f t="shared" si="16"/>
        <v>13.310000000000002</v>
      </c>
      <c r="K35" s="23">
        <f t="shared" si="16"/>
        <v>14.641000000000004</v>
      </c>
      <c r="L35" s="23">
        <f t="shared" si="16"/>
        <v>16.105100000000004</v>
      </c>
      <c r="M35" s="23">
        <f t="shared" si="16"/>
        <v>17.715610000000005</v>
      </c>
      <c r="N35" s="23">
        <f t="shared" si="16"/>
        <v>19.487171000000007</v>
      </c>
      <c r="O35" s="23">
        <f t="shared" si="16"/>
        <v>21.43588810000001</v>
      </c>
    </row>
    <row r="36" spans="1:15" ht="15.75">
      <c r="A36" s="34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</row>
    <row r="37" spans="1:15" ht="15.75">
      <c r="A37" s="34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</row>
    <row r="38" spans="1:15" ht="15.75">
      <c r="A38" s="34" t="s">
        <v>43</v>
      </c>
      <c r="B38" s="23">
        <v>170</v>
      </c>
      <c r="C38" s="23">
        <f>B38*0.9</f>
        <v>153</v>
      </c>
      <c r="D38" s="23">
        <f aca="true" t="shared" si="17" ref="D38:O38">C38*0.9</f>
        <v>137.70000000000002</v>
      </c>
      <c r="E38" s="23">
        <v>0</v>
      </c>
      <c r="F38" s="23">
        <v>0</v>
      </c>
      <c r="G38" s="23">
        <f t="shared" si="17"/>
        <v>0</v>
      </c>
      <c r="H38" s="23">
        <f t="shared" si="17"/>
        <v>0</v>
      </c>
      <c r="I38" s="23">
        <f t="shared" si="17"/>
        <v>0</v>
      </c>
      <c r="J38" s="23">
        <f t="shared" si="17"/>
        <v>0</v>
      </c>
      <c r="K38" s="23">
        <f t="shared" si="17"/>
        <v>0</v>
      </c>
      <c r="L38" s="23">
        <f t="shared" si="17"/>
        <v>0</v>
      </c>
      <c r="M38" s="23">
        <f t="shared" si="17"/>
        <v>0</v>
      </c>
      <c r="N38" s="23">
        <f t="shared" si="17"/>
        <v>0</v>
      </c>
      <c r="O38" s="23">
        <f t="shared" si="17"/>
        <v>0</v>
      </c>
    </row>
    <row r="39" spans="1:15" ht="47.25">
      <c r="A39" s="29" t="s">
        <v>74</v>
      </c>
      <c r="B39" s="20">
        <f>SUM(B40:B43)</f>
        <v>9726.9</v>
      </c>
      <c r="C39" s="20">
        <f aca="true" t="shared" si="18" ref="C39:O39">SUM(C40:C43)</f>
        <v>9459.9</v>
      </c>
      <c r="D39" s="20">
        <f t="shared" si="18"/>
        <v>9453.8</v>
      </c>
      <c r="E39" s="20">
        <f t="shared" si="18"/>
        <v>7392.8</v>
      </c>
      <c r="F39" s="20">
        <f t="shared" si="18"/>
        <v>7392.8</v>
      </c>
      <c r="G39" s="20">
        <f t="shared" si="18"/>
        <v>7392.8</v>
      </c>
      <c r="H39" s="20">
        <f t="shared" si="18"/>
        <v>7392.8</v>
      </c>
      <c r="I39" s="20">
        <f t="shared" si="18"/>
        <v>7392.8</v>
      </c>
      <c r="J39" s="20">
        <f t="shared" si="18"/>
        <v>7392.8</v>
      </c>
      <c r="K39" s="20">
        <f t="shared" si="18"/>
        <v>7392.8</v>
      </c>
      <c r="L39" s="20">
        <f t="shared" si="18"/>
        <v>7392.8</v>
      </c>
      <c r="M39" s="20">
        <f t="shared" si="18"/>
        <v>7392.8</v>
      </c>
      <c r="N39" s="20">
        <f t="shared" si="18"/>
        <v>7392.8</v>
      </c>
      <c r="O39" s="20">
        <f t="shared" si="18"/>
        <v>7392.8</v>
      </c>
    </row>
    <row r="40" spans="1:15" ht="15.75">
      <c r="A40" s="34" t="s">
        <v>45</v>
      </c>
      <c r="B40" s="22">
        <v>9726.9</v>
      </c>
      <c r="C40" s="22">
        <v>9459.9</v>
      </c>
      <c r="D40" s="22">
        <v>9453.8</v>
      </c>
      <c r="E40" s="23">
        <v>7392.8</v>
      </c>
      <c r="F40" s="23">
        <v>7392.8</v>
      </c>
      <c r="G40" s="23">
        <v>7392.8</v>
      </c>
      <c r="H40" s="23">
        <f aca="true" t="shared" si="19" ref="H40:O40">(E40+F40+G40)/3</f>
        <v>7392.8</v>
      </c>
      <c r="I40" s="23">
        <f t="shared" si="19"/>
        <v>7392.8</v>
      </c>
      <c r="J40" s="23">
        <f t="shared" si="19"/>
        <v>7392.8</v>
      </c>
      <c r="K40" s="23">
        <f t="shared" si="19"/>
        <v>7392.8</v>
      </c>
      <c r="L40" s="23">
        <f t="shared" si="19"/>
        <v>7392.8</v>
      </c>
      <c r="M40" s="23">
        <f t="shared" si="19"/>
        <v>7392.8</v>
      </c>
      <c r="N40" s="23">
        <f t="shared" si="19"/>
        <v>7392.8</v>
      </c>
      <c r="O40" s="23">
        <f t="shared" si="19"/>
        <v>7392.8</v>
      </c>
    </row>
    <row r="41" spans="1:15" ht="47.25">
      <c r="A41" s="3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</row>
    <row r="42" spans="1:15" ht="31.5">
      <c r="A42" s="34" t="s">
        <v>47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ht="15.75">
      <c r="A43" s="34" t="s">
        <v>48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</row>
    <row r="44" spans="1:15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5.75">
      <c r="A45" s="76" t="s">
        <v>75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15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5.75">
      <c r="A47" s="18" t="s">
        <v>0</v>
      </c>
      <c r="B47" s="18" t="s">
        <v>1</v>
      </c>
      <c r="C47" s="18" t="s">
        <v>2</v>
      </c>
      <c r="D47" s="18" t="s">
        <v>12</v>
      </c>
      <c r="E47" s="18" t="s">
        <v>13</v>
      </c>
      <c r="F47" s="18" t="s">
        <v>14</v>
      </c>
      <c r="G47" s="18" t="s">
        <v>15</v>
      </c>
      <c r="H47" s="18" t="s">
        <v>16</v>
      </c>
      <c r="I47" s="18" t="s">
        <v>17</v>
      </c>
      <c r="J47" s="18" t="s">
        <v>18</v>
      </c>
      <c r="K47" s="18" t="s">
        <v>19</v>
      </c>
      <c r="L47" s="18" t="s">
        <v>20</v>
      </c>
      <c r="M47" s="18" t="s">
        <v>21</v>
      </c>
      <c r="N47" s="18" t="s">
        <v>22</v>
      </c>
      <c r="O47" s="18" t="s">
        <v>3</v>
      </c>
    </row>
    <row r="48" spans="1:15" ht="78.75">
      <c r="A48" s="29" t="s">
        <v>49</v>
      </c>
      <c r="B48" s="18" t="e">
        <f>B50+B51+B52+B53+B54+B55+B56+B57+B58+B59+B60+B61+B62+B63</f>
        <v>#REF!</v>
      </c>
      <c r="C48" s="20" t="e">
        <f>C50+C51+C52+C53+C54+C55+C56+C57+C58+C59+C60+C61+C62+C63</f>
        <v>#REF!</v>
      </c>
      <c r="D48" s="20" t="e">
        <f>D50+D51+D52+D53+D54+D55+D56+D57+D58+D59+D60+D61+D62+D63</f>
        <v>#REF!</v>
      </c>
      <c r="E48" s="20">
        <f aca="true" t="shared" si="20" ref="E48:O48">SUM(E50:E61)</f>
        <v>47529.19999999999</v>
      </c>
      <c r="F48" s="20">
        <f t="shared" si="20"/>
        <v>46761.5</v>
      </c>
      <c r="G48" s="20">
        <f t="shared" si="20"/>
        <v>47307.399999999994</v>
      </c>
      <c r="H48" s="20">
        <f t="shared" si="20"/>
        <v>47808.19999999999</v>
      </c>
      <c r="I48" s="20">
        <f t="shared" si="20"/>
        <v>48615.399999999994</v>
      </c>
      <c r="J48" s="20">
        <f t="shared" si="20"/>
        <v>49446.200000000004</v>
      </c>
      <c r="K48" s="20">
        <f t="shared" si="20"/>
        <v>50301.700000000004</v>
      </c>
      <c r="L48" s="20">
        <f t="shared" si="20"/>
        <v>51183.2</v>
      </c>
      <c r="M48" s="20">
        <f t="shared" si="20"/>
        <v>52091.99999999999</v>
      </c>
      <c r="N48" s="20">
        <f t="shared" si="20"/>
        <v>53029.49999999999</v>
      </c>
      <c r="O48" s="20">
        <f t="shared" si="20"/>
        <v>53997.299999999996</v>
      </c>
    </row>
    <row r="49" spans="1:15" ht="15.75">
      <c r="A49" s="34" t="s">
        <v>50</v>
      </c>
      <c r="B49" s="22"/>
      <c r="C49" s="22"/>
      <c r="D49" s="22"/>
      <c r="E49" s="2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.75">
      <c r="A50" s="34" t="s">
        <v>51</v>
      </c>
      <c r="B50" s="22" t="e">
        <f>SUM(#REF!)</f>
        <v>#REF!</v>
      </c>
      <c r="C50" s="23" t="e">
        <f>SUM(#REF!)</f>
        <v>#REF!</v>
      </c>
      <c r="D50" s="23" t="e">
        <f>SUM(#REF!)</f>
        <v>#REF!</v>
      </c>
      <c r="E50" s="60">
        <f>2489.4-3.2</f>
        <v>2486.2000000000003</v>
      </c>
      <c r="F50" s="60">
        <f>1723.9-3.4</f>
        <v>1720.5</v>
      </c>
      <c r="G50" s="60">
        <f>1720.5</f>
        <v>1720.5</v>
      </c>
      <c r="H50" s="23">
        <v>1388.6</v>
      </c>
      <c r="I50" s="23">
        <v>1405</v>
      </c>
      <c r="J50" s="23">
        <v>1421.9</v>
      </c>
      <c r="K50" s="23">
        <v>1439.3</v>
      </c>
      <c r="L50" s="23">
        <v>1457.1</v>
      </c>
      <c r="M50" s="23">
        <v>1475.5</v>
      </c>
      <c r="N50" s="23">
        <v>1494.5</v>
      </c>
      <c r="O50" s="23">
        <v>1514</v>
      </c>
    </row>
    <row r="51" spans="1:15" ht="15.75">
      <c r="A51" s="34" t="s">
        <v>52</v>
      </c>
      <c r="B51" s="22">
        <v>0</v>
      </c>
      <c r="C51" s="22">
        <v>0</v>
      </c>
      <c r="D51" s="22">
        <v>0</v>
      </c>
      <c r="E51" s="61"/>
      <c r="F51" s="61"/>
      <c r="G51" s="61"/>
      <c r="H51" s="22"/>
      <c r="I51" s="22"/>
      <c r="J51" s="22"/>
      <c r="K51" s="22"/>
      <c r="L51" s="22"/>
      <c r="M51" s="22"/>
      <c r="N51" s="22"/>
      <c r="O51" s="22"/>
    </row>
    <row r="52" spans="1:15" ht="31.5">
      <c r="A52" s="34" t="s">
        <v>53</v>
      </c>
      <c r="B52" s="22">
        <v>0</v>
      </c>
      <c r="C52" s="22">
        <v>0</v>
      </c>
      <c r="D52" s="22">
        <v>0</v>
      </c>
      <c r="E52" s="61"/>
      <c r="F52" s="61"/>
      <c r="G52" s="61"/>
      <c r="H52" s="22"/>
      <c r="I52" s="22"/>
      <c r="J52" s="22"/>
      <c r="K52" s="22"/>
      <c r="L52" s="22"/>
      <c r="M52" s="22"/>
      <c r="N52" s="22"/>
      <c r="O52" s="22"/>
    </row>
    <row r="53" spans="1:15" ht="15.75">
      <c r="A53" s="34" t="s">
        <v>54</v>
      </c>
      <c r="B53" s="22" t="e">
        <f>SUM(#REF!)</f>
        <v>#REF!</v>
      </c>
      <c r="C53" s="23" t="e">
        <f>SUM(#REF!)</f>
        <v>#REF!</v>
      </c>
      <c r="D53" s="23" t="e">
        <f>SUM(#REF!)</f>
        <v>#REF!</v>
      </c>
      <c r="E53" s="60">
        <f>12989.4+1770.3</f>
        <v>14759.699999999999</v>
      </c>
      <c r="F53" s="60">
        <f>12730+1775.5</f>
        <v>14505.5</v>
      </c>
      <c r="G53" s="60">
        <f>11030+1775.5+2400</f>
        <v>15205.5</v>
      </c>
      <c r="H53" s="23">
        <f>17361.3-800</f>
        <v>16561.3</v>
      </c>
      <c r="I53" s="23">
        <f>17912.9-800</f>
        <v>17112.9</v>
      </c>
      <c r="J53" s="23">
        <f>18493-700</f>
        <v>17793</v>
      </c>
      <c r="K53" s="23">
        <f>19103.4-750</f>
        <v>18353.4</v>
      </c>
      <c r="L53" s="23">
        <f>19746-700</f>
        <v>19046</v>
      </c>
      <c r="M53" s="23">
        <f>20422.2-700</f>
        <v>19722.2</v>
      </c>
      <c r="N53" s="23">
        <f>21135.6-700</f>
        <v>20435.6</v>
      </c>
      <c r="O53" s="23">
        <f>21886.3-700</f>
        <v>21186.3</v>
      </c>
    </row>
    <row r="54" spans="1:15" ht="15.75">
      <c r="A54" s="34" t="s">
        <v>55</v>
      </c>
      <c r="B54" s="22" t="e">
        <f>SUM(#REF!)</f>
        <v>#REF!</v>
      </c>
      <c r="C54" s="23" t="e">
        <f>SUM(#REF!)</f>
        <v>#REF!</v>
      </c>
      <c r="D54" s="23" t="e">
        <f>SUM(#REF!)</f>
        <v>#REF!</v>
      </c>
      <c r="E54" s="60">
        <f>1542+3800+10270+200</f>
        <v>15812</v>
      </c>
      <c r="F54" s="60">
        <f>542+4000+9750+200+1200</f>
        <v>15692</v>
      </c>
      <c r="G54" s="60">
        <f>1587.9+4000+9750+200</f>
        <v>15537.9</v>
      </c>
      <c r="H54" s="23">
        <f>18062.7-887.7</f>
        <v>17175</v>
      </c>
      <c r="I54" s="23">
        <f>18207.6-819.9</f>
        <v>17387.699999999997</v>
      </c>
      <c r="J54" s="23">
        <f>18360.5-865.3</f>
        <v>17495.2</v>
      </c>
      <c r="K54" s="23">
        <f>18521.3-775.2</f>
        <v>17746.1</v>
      </c>
      <c r="L54" s="23">
        <f>18689.8-799.4</f>
        <v>17890.399999999998</v>
      </c>
      <c r="M54" s="23">
        <f>18866.3-788.3</f>
        <v>18078</v>
      </c>
      <c r="N54" s="23">
        <f>19050.7-795.1</f>
        <v>18255.600000000002</v>
      </c>
      <c r="O54" s="23">
        <f>19243.2-817.3</f>
        <v>18425.9</v>
      </c>
    </row>
    <row r="55" spans="1:15" ht="15.75">
      <c r="A55" s="34" t="s">
        <v>56</v>
      </c>
      <c r="B55" s="22">
        <v>0</v>
      </c>
      <c r="C55" s="22">
        <v>0</v>
      </c>
      <c r="D55" s="22">
        <v>0</v>
      </c>
      <c r="E55" s="61"/>
      <c r="F55" s="61"/>
      <c r="G55" s="61"/>
      <c r="H55" s="22"/>
      <c r="I55" s="22"/>
      <c r="J55" s="22"/>
      <c r="K55" s="22"/>
      <c r="L55" s="22"/>
      <c r="M55" s="22"/>
      <c r="N55" s="22"/>
      <c r="O55" s="22"/>
    </row>
    <row r="56" spans="1:15" ht="15.75">
      <c r="A56" s="34" t="s">
        <v>57</v>
      </c>
      <c r="B56" s="22" t="e">
        <f>#REF!</f>
        <v>#REF!</v>
      </c>
      <c r="C56" s="23" t="e">
        <f>#REF!</f>
        <v>#REF!</v>
      </c>
      <c r="D56" s="23" t="e">
        <f>#REF!</f>
        <v>#REF!</v>
      </c>
      <c r="E56" s="60">
        <v>310</v>
      </c>
      <c r="F56" s="60">
        <v>310</v>
      </c>
      <c r="G56" s="60">
        <v>310</v>
      </c>
      <c r="H56" s="23">
        <v>467</v>
      </c>
      <c r="I56" s="23">
        <v>470.5</v>
      </c>
      <c r="J56" s="23">
        <v>473.9</v>
      </c>
      <c r="K56" s="23">
        <v>477.5</v>
      </c>
      <c r="L56" s="23">
        <v>481</v>
      </c>
      <c r="M56" s="23">
        <v>484.5</v>
      </c>
      <c r="N56" s="23">
        <v>488.1</v>
      </c>
      <c r="O56" s="23">
        <v>491.7</v>
      </c>
    </row>
    <row r="57" spans="1:15" ht="15.75">
      <c r="A57" s="34" t="s">
        <v>58</v>
      </c>
      <c r="B57" s="22" t="e">
        <f>#REF!+#REF!</f>
        <v>#REF!</v>
      </c>
      <c r="C57" s="23" t="e">
        <f>#REF!+#REF!</f>
        <v>#REF!</v>
      </c>
      <c r="D57" s="23" t="e">
        <f>#REF!+#REF!</f>
        <v>#REF!</v>
      </c>
      <c r="E57" s="60">
        <v>13472.1</v>
      </c>
      <c r="F57" s="60">
        <v>13844.3</v>
      </c>
      <c r="G57" s="60">
        <v>13844.3</v>
      </c>
      <c r="H57" s="23">
        <v>11647.6</v>
      </c>
      <c r="I57" s="23">
        <v>11666.6</v>
      </c>
      <c r="J57" s="23">
        <v>11685.6</v>
      </c>
      <c r="K57" s="23">
        <v>11704.8</v>
      </c>
      <c r="L57" s="23">
        <v>11724.1</v>
      </c>
      <c r="M57" s="23">
        <v>11743.1</v>
      </c>
      <c r="N57" s="23">
        <v>11763</v>
      </c>
      <c r="O57" s="23">
        <v>11782.6</v>
      </c>
    </row>
    <row r="58" spans="1:15" ht="15.75">
      <c r="A58" s="34" t="s">
        <v>59</v>
      </c>
      <c r="B58" s="22">
        <v>0</v>
      </c>
      <c r="C58" s="22">
        <v>0</v>
      </c>
      <c r="D58" s="22">
        <v>0</v>
      </c>
      <c r="E58" s="61"/>
      <c r="F58" s="61"/>
      <c r="G58" s="61"/>
      <c r="H58" s="22"/>
      <c r="I58" s="22"/>
      <c r="J58" s="22"/>
      <c r="K58" s="22"/>
      <c r="L58" s="22"/>
      <c r="M58" s="22"/>
      <c r="N58" s="22"/>
      <c r="O58" s="22"/>
    </row>
    <row r="59" spans="1:15" ht="15.75">
      <c r="A59" s="34" t="s">
        <v>60</v>
      </c>
      <c r="B59" s="22">
        <v>0</v>
      </c>
      <c r="C59" s="22">
        <v>0</v>
      </c>
      <c r="D59" s="22">
        <v>0</v>
      </c>
      <c r="E59" s="61">
        <v>38.5</v>
      </c>
      <c r="F59" s="61">
        <v>38.5</v>
      </c>
      <c r="G59" s="61">
        <v>38.5</v>
      </c>
      <c r="H59" s="22">
        <v>38.5</v>
      </c>
      <c r="I59" s="22">
        <v>38.5</v>
      </c>
      <c r="J59" s="22">
        <v>38.5</v>
      </c>
      <c r="K59" s="22">
        <v>38.5</v>
      </c>
      <c r="L59" s="22">
        <v>38.5</v>
      </c>
      <c r="M59" s="22">
        <v>38.5</v>
      </c>
      <c r="N59" s="22">
        <v>38.5</v>
      </c>
      <c r="O59" s="22">
        <v>38.5</v>
      </c>
    </row>
    <row r="60" spans="1:15" ht="15.75">
      <c r="A60" s="34" t="s">
        <v>61</v>
      </c>
      <c r="B60" s="22" t="e">
        <f>#REF!</f>
        <v>#REF!</v>
      </c>
      <c r="C60" s="23" t="e">
        <f>#REF!</f>
        <v>#REF!</v>
      </c>
      <c r="D60" s="23" t="e">
        <f>#REF!</f>
        <v>#REF!</v>
      </c>
      <c r="E60" s="60">
        <v>650.7</v>
      </c>
      <c r="F60" s="60">
        <v>650.7</v>
      </c>
      <c r="G60" s="60">
        <v>650.7</v>
      </c>
      <c r="H60" s="23">
        <v>530.2</v>
      </c>
      <c r="I60" s="23">
        <v>534.2</v>
      </c>
      <c r="J60" s="23">
        <v>538.1</v>
      </c>
      <c r="K60" s="23">
        <v>542.1</v>
      </c>
      <c r="L60" s="23">
        <v>546.1</v>
      </c>
      <c r="M60" s="23">
        <v>550.2</v>
      </c>
      <c r="N60" s="23">
        <v>554.2</v>
      </c>
      <c r="O60" s="23">
        <v>558.3</v>
      </c>
    </row>
    <row r="61" spans="1:15" ht="15.75">
      <c r="A61" s="34" t="s">
        <v>62</v>
      </c>
      <c r="B61" s="22">
        <v>0</v>
      </c>
      <c r="C61" s="22">
        <v>0</v>
      </c>
      <c r="D61" s="22">
        <v>0</v>
      </c>
      <c r="E61" s="61"/>
      <c r="F61" s="61"/>
      <c r="G61" s="61"/>
      <c r="H61" s="22"/>
      <c r="I61" s="22"/>
      <c r="J61" s="22"/>
      <c r="K61" s="22"/>
      <c r="L61" s="22"/>
      <c r="M61" s="22"/>
      <c r="N61" s="22"/>
      <c r="O61" s="22"/>
    </row>
    <row r="62" spans="1:15" ht="15.75">
      <c r="A62" s="34" t="s">
        <v>63</v>
      </c>
      <c r="B62" s="22">
        <v>0</v>
      </c>
      <c r="C62" s="22">
        <v>0</v>
      </c>
      <c r="D62" s="22"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63">
      <c r="A63" s="34" t="s">
        <v>64</v>
      </c>
      <c r="B63" s="22">
        <v>0</v>
      </c>
      <c r="C63" s="22">
        <v>0</v>
      </c>
      <c r="D63" s="22"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5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5.75">
      <c r="A65" s="76" t="s">
        <v>76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1:15" ht="15.7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5.75">
      <c r="A67" s="18" t="s">
        <v>0</v>
      </c>
      <c r="B67" s="18" t="s">
        <v>1</v>
      </c>
      <c r="C67" s="18" t="s">
        <v>2</v>
      </c>
      <c r="D67" s="18" t="s">
        <v>12</v>
      </c>
      <c r="E67" s="18" t="s">
        <v>13</v>
      </c>
      <c r="F67" s="18" t="s">
        <v>14</v>
      </c>
      <c r="G67" s="18" t="s">
        <v>15</v>
      </c>
      <c r="H67" s="18" t="s">
        <v>16</v>
      </c>
      <c r="I67" s="18" t="s">
        <v>17</v>
      </c>
      <c r="J67" s="18" t="s">
        <v>18</v>
      </c>
      <c r="K67" s="18" t="s">
        <v>19</v>
      </c>
      <c r="L67" s="18" t="s">
        <v>20</v>
      </c>
      <c r="M67" s="18" t="s">
        <v>21</v>
      </c>
      <c r="N67" s="18" t="s">
        <v>22</v>
      </c>
      <c r="O67" s="18" t="s">
        <v>3</v>
      </c>
    </row>
    <row r="68" spans="1:15" ht="15.75">
      <c r="A68" s="29" t="s">
        <v>65</v>
      </c>
      <c r="B68" s="18">
        <f>SUM(B69:B72)</f>
        <v>0</v>
      </c>
      <c r="C68" s="18">
        <f aca="true" t="shared" si="21" ref="C68:O68">SUM(C69:C72)</f>
        <v>0</v>
      </c>
      <c r="D68" s="18">
        <f t="shared" si="21"/>
        <v>0</v>
      </c>
      <c r="E68" s="18">
        <f t="shared" si="21"/>
        <v>0</v>
      </c>
      <c r="F68" s="18">
        <f t="shared" si="21"/>
        <v>0</v>
      </c>
      <c r="G68" s="18">
        <f t="shared" si="21"/>
        <v>0</v>
      </c>
      <c r="H68" s="18">
        <f t="shared" si="21"/>
        <v>0</v>
      </c>
      <c r="I68" s="18">
        <f t="shared" si="21"/>
        <v>0</v>
      </c>
      <c r="J68" s="18">
        <f t="shared" si="21"/>
        <v>0</v>
      </c>
      <c r="K68" s="18">
        <f t="shared" si="21"/>
        <v>0</v>
      </c>
      <c r="L68" s="18">
        <f t="shared" si="21"/>
        <v>0</v>
      </c>
      <c r="M68" s="18">
        <f t="shared" si="21"/>
        <v>0</v>
      </c>
      <c r="N68" s="18">
        <f t="shared" si="21"/>
        <v>0</v>
      </c>
      <c r="O68" s="18">
        <f t="shared" si="21"/>
        <v>0</v>
      </c>
    </row>
    <row r="69" spans="1:15" ht="15.75">
      <c r="A69" s="34" t="s">
        <v>66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</row>
    <row r="70" spans="1:15" ht="15.75">
      <c r="A70" s="34" t="s">
        <v>67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</row>
    <row r="71" spans="1:15" ht="15.75">
      <c r="A71" s="34" t="s">
        <v>68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</row>
    <row r="72" spans="1:15" ht="15.75">
      <c r="A72" s="34" t="s">
        <v>69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ht="15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5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>
      <c r="A76" s="74" t="s">
        <v>77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28"/>
      <c r="M76" s="28"/>
      <c r="N76" s="28"/>
      <c r="O76" s="28"/>
    </row>
    <row r="77" spans="1:15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</sheetData>
  <sheetProtection/>
  <mergeCells count="5">
    <mergeCell ref="A76:K76"/>
    <mergeCell ref="A1:O1"/>
    <mergeCell ref="A13:O13"/>
    <mergeCell ref="A45:O45"/>
    <mergeCell ref="A65:O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zoomScalePageLayoutView="0" workbookViewId="0" topLeftCell="A1">
      <selection activeCell="R50" sqref="R50"/>
    </sheetView>
  </sheetViews>
  <sheetFormatPr defaultColWidth="9.140625" defaultRowHeight="15"/>
  <cols>
    <col min="1" max="1" width="44.28125" style="0" customWidth="1"/>
    <col min="2" max="2" width="13.7109375" style="0" hidden="1" customWidth="1"/>
    <col min="3" max="3" width="12.8515625" style="0" hidden="1" customWidth="1"/>
    <col min="4" max="4" width="14.421875" style="0" hidden="1" customWidth="1"/>
    <col min="5" max="5" width="12.421875" style="0" customWidth="1"/>
    <col min="6" max="7" width="12.710937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  <col min="12" max="12" width="13.7109375" style="0" customWidth="1"/>
    <col min="13" max="13" width="13.00390625" style="0" customWidth="1"/>
    <col min="14" max="14" width="13.421875" style="0" customWidth="1"/>
    <col min="15" max="15" width="13.7109375" style="0" customWidth="1"/>
  </cols>
  <sheetData>
    <row r="1" spans="1:15" ht="32.25" customHeight="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 t="s">
        <v>85</v>
      </c>
      <c r="O2" s="78"/>
    </row>
    <row r="3" spans="1:15" ht="18.75">
      <c r="A3" s="1" t="s">
        <v>0</v>
      </c>
      <c r="B3" s="1" t="s">
        <v>1</v>
      </c>
      <c r="C3" s="1" t="s">
        <v>2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3</v>
      </c>
    </row>
    <row r="4" spans="1:15" ht="75">
      <c r="A4" s="2" t="s">
        <v>4</v>
      </c>
      <c r="B4" s="9" t="e">
        <f>B5+B8</f>
        <v>#REF!</v>
      </c>
      <c r="C4" s="9" t="e">
        <f aca="true" t="shared" si="0" ref="C4:O4">C5+C8</f>
        <v>#REF!</v>
      </c>
      <c r="D4" s="9" t="e">
        <f t="shared" si="0"/>
        <v>#REF!</v>
      </c>
      <c r="E4" s="9">
        <f t="shared" si="0"/>
        <v>217050.40000000002</v>
      </c>
      <c r="F4" s="9">
        <f t="shared" si="0"/>
        <v>172594.2</v>
      </c>
      <c r="G4" s="9">
        <f t="shared" si="0"/>
        <v>173845.40000000002</v>
      </c>
      <c r="H4" s="9">
        <f t="shared" si="0"/>
        <v>177064.79886362265</v>
      </c>
      <c r="I4" s="9">
        <f t="shared" si="0"/>
        <v>180467.41568902647</v>
      </c>
      <c r="J4" s="9">
        <f t="shared" si="0"/>
        <v>183946.58521646564</v>
      </c>
      <c r="K4" s="9">
        <f t="shared" si="0"/>
        <v>187504.59242361452</v>
      </c>
      <c r="L4" s="9">
        <f t="shared" si="0"/>
        <v>191143.85092788207</v>
      </c>
      <c r="M4" s="9">
        <f t="shared" si="0"/>
        <v>194866.91479680993</v>
      </c>
      <c r="N4" s="9">
        <f t="shared" si="0"/>
        <v>198676.49166302138</v>
      </c>
      <c r="O4" s="9">
        <f t="shared" si="0"/>
        <v>202575.45729468425</v>
      </c>
    </row>
    <row r="5" spans="1:15" ht="18.75">
      <c r="A5" s="3" t="s">
        <v>5</v>
      </c>
      <c r="B5" s="9" t="e">
        <f>B6+B7</f>
        <v>#REF!</v>
      </c>
      <c r="C5" s="9" t="e">
        <f aca="true" t="shared" si="1" ref="C5:O5">C6+C7</f>
        <v>#REF!</v>
      </c>
      <c r="D5" s="9" t="e">
        <f t="shared" si="1"/>
        <v>#REF!</v>
      </c>
      <c r="E5" s="9">
        <f t="shared" si="1"/>
        <v>114086.40000000001</v>
      </c>
      <c r="F5" s="9">
        <f t="shared" si="1"/>
        <v>95748.60000000002</v>
      </c>
      <c r="G5" s="9">
        <f t="shared" si="1"/>
        <v>96999.8</v>
      </c>
      <c r="H5" s="9">
        <f t="shared" si="1"/>
        <v>98830.14286362266</v>
      </c>
      <c r="I5" s="9">
        <f t="shared" si="1"/>
        <v>100815.92256902647</v>
      </c>
      <c r="J5" s="9">
        <f t="shared" si="1"/>
        <v>102849.91823406564</v>
      </c>
      <c r="K5" s="9">
        <f t="shared" si="1"/>
        <v>104933.8481015665</v>
      </c>
      <c r="L5" s="9">
        <f t="shared" si="1"/>
        <v>107069.54771939307</v>
      </c>
      <c r="M5" s="9">
        <f t="shared" si="1"/>
        <v>109258.98152415117</v>
      </c>
      <c r="N5" s="9">
        <f t="shared" si="1"/>
        <v>111504.25572490945</v>
      </c>
      <c r="O5" s="9">
        <f t="shared" si="1"/>
        <v>113807.6326378101</v>
      </c>
    </row>
    <row r="6" spans="1:15" ht="18.75">
      <c r="A6" s="5" t="s">
        <v>6</v>
      </c>
      <c r="B6" s="9" t="e">
        <f>B16</f>
        <v>#REF!</v>
      </c>
      <c r="C6" s="9" t="e">
        <f aca="true" t="shared" si="2" ref="C6:O6">C16</f>
        <v>#REF!</v>
      </c>
      <c r="D6" s="9" t="e">
        <f t="shared" si="2"/>
        <v>#REF!</v>
      </c>
      <c r="E6" s="9">
        <f t="shared" si="2"/>
        <v>80283.20000000001</v>
      </c>
      <c r="F6" s="9">
        <f t="shared" si="2"/>
        <v>81002.00000000001</v>
      </c>
      <c r="G6" s="9">
        <f t="shared" si="2"/>
        <v>82240.2</v>
      </c>
      <c r="H6" s="9">
        <f t="shared" si="2"/>
        <v>83716.23700000001</v>
      </c>
      <c r="I6" s="9">
        <f t="shared" si="2"/>
        <v>85381.91551000004</v>
      </c>
      <c r="J6" s="9">
        <f t="shared" si="2"/>
        <v>87084.15252094003</v>
      </c>
      <c r="K6" s="9">
        <f t="shared" si="2"/>
        <v>88823.8982622603</v>
      </c>
      <c r="L6" s="9">
        <f t="shared" si="2"/>
        <v>90602.13807962678</v>
      </c>
      <c r="M6" s="9">
        <f t="shared" si="2"/>
        <v>92419.89445765875</v>
      </c>
      <c r="N6" s="9">
        <f t="shared" si="2"/>
        <v>94278.22920061123</v>
      </c>
      <c r="O6" s="9">
        <f t="shared" si="2"/>
        <v>96178.24578519433</v>
      </c>
    </row>
    <row r="7" spans="1:15" ht="18.75">
      <c r="A7" s="5" t="s">
        <v>7</v>
      </c>
      <c r="B7" s="9" t="e">
        <f>B27</f>
        <v>#REF!</v>
      </c>
      <c r="C7" s="9" t="e">
        <f aca="true" t="shared" si="3" ref="C7:O7">C27</f>
        <v>#REF!</v>
      </c>
      <c r="D7" s="9" t="e">
        <f t="shared" si="3"/>
        <v>#REF!</v>
      </c>
      <c r="E7" s="9">
        <f t="shared" si="3"/>
        <v>33803.2</v>
      </c>
      <c r="F7" s="9">
        <f t="shared" si="3"/>
        <v>14746.6</v>
      </c>
      <c r="G7" s="9">
        <f t="shared" si="3"/>
        <v>14759.6</v>
      </c>
      <c r="H7" s="9">
        <f t="shared" si="3"/>
        <v>15113.905863622655</v>
      </c>
      <c r="I7" s="9">
        <f t="shared" si="3"/>
        <v>15434.00705902644</v>
      </c>
      <c r="J7" s="9">
        <f t="shared" si="3"/>
        <v>15765.765713125607</v>
      </c>
      <c r="K7" s="9">
        <f t="shared" si="3"/>
        <v>16109.949839306199</v>
      </c>
      <c r="L7" s="9">
        <f t="shared" si="3"/>
        <v>16467.409639766294</v>
      </c>
      <c r="M7" s="9">
        <f t="shared" si="3"/>
        <v>16839.08706649242</v>
      </c>
      <c r="N7" s="9">
        <f t="shared" si="3"/>
        <v>17226.026524298235</v>
      </c>
      <c r="O7" s="9">
        <f t="shared" si="3"/>
        <v>17629.386852615757</v>
      </c>
    </row>
    <row r="8" spans="1:15" ht="75">
      <c r="A8" s="3" t="s">
        <v>8</v>
      </c>
      <c r="B8" s="9" t="e">
        <f>B35</f>
        <v>#REF!</v>
      </c>
      <c r="C8" s="9" t="e">
        <f aca="true" t="shared" si="4" ref="C8:O8">C35</f>
        <v>#REF!</v>
      </c>
      <c r="D8" s="9" t="e">
        <f t="shared" si="4"/>
        <v>#REF!</v>
      </c>
      <c r="E8" s="9">
        <f t="shared" si="4"/>
        <v>102964</v>
      </c>
      <c r="F8" s="9">
        <f t="shared" si="4"/>
        <v>76845.6</v>
      </c>
      <c r="G8" s="9">
        <f t="shared" si="4"/>
        <v>76845.6</v>
      </c>
      <c r="H8" s="9">
        <f t="shared" si="4"/>
        <v>78234.656</v>
      </c>
      <c r="I8" s="9">
        <f t="shared" si="4"/>
        <v>79651.49312</v>
      </c>
      <c r="J8" s="9">
        <f t="shared" si="4"/>
        <v>81096.6669824</v>
      </c>
      <c r="K8" s="9">
        <f t="shared" si="4"/>
        <v>82570.74432204802</v>
      </c>
      <c r="L8" s="9">
        <f t="shared" si="4"/>
        <v>84074.30320848899</v>
      </c>
      <c r="M8" s="9">
        <f t="shared" si="4"/>
        <v>85607.93327265876</v>
      </c>
      <c r="N8" s="9">
        <f t="shared" si="4"/>
        <v>87172.23593811195</v>
      </c>
      <c r="O8" s="9">
        <f t="shared" si="4"/>
        <v>88767.82465687417</v>
      </c>
    </row>
    <row r="9" spans="1:15" ht="93.75">
      <c r="A9" s="2" t="s">
        <v>9</v>
      </c>
      <c r="B9" s="9" t="e">
        <f>B42</f>
        <v>#REF!</v>
      </c>
      <c r="C9" s="9" t="e">
        <f aca="true" t="shared" si="5" ref="C9:O9">C42</f>
        <v>#REF!</v>
      </c>
      <c r="D9" s="9" t="e">
        <f t="shared" si="5"/>
        <v>#REF!</v>
      </c>
      <c r="E9" s="9">
        <f t="shared" si="5"/>
        <v>218159.00000000003</v>
      </c>
      <c r="F9" s="9">
        <f t="shared" si="5"/>
        <v>171553.3</v>
      </c>
      <c r="G9" s="9">
        <f t="shared" si="5"/>
        <v>172838</v>
      </c>
      <c r="H9" s="9">
        <f t="shared" si="5"/>
        <v>175733.1821</v>
      </c>
      <c r="I9" s="9">
        <f t="shared" si="5"/>
        <v>179135.79837828</v>
      </c>
      <c r="J9" s="9">
        <f t="shared" si="5"/>
        <v>183946.64456595495</v>
      </c>
      <c r="K9" s="9">
        <f t="shared" si="5"/>
        <v>187504.59317791657</v>
      </c>
      <c r="L9" s="9">
        <f t="shared" si="5"/>
        <v>191143.81412606876</v>
      </c>
      <c r="M9" s="9">
        <f t="shared" si="5"/>
        <v>194866.88783907733</v>
      </c>
      <c r="N9" s="9">
        <f t="shared" si="5"/>
        <v>198676.53174178995</v>
      </c>
      <c r="O9" s="9">
        <f t="shared" si="5"/>
        <v>202575.5062298534</v>
      </c>
    </row>
    <row r="10" spans="1:15" ht="18.75">
      <c r="A10" s="2" t="s">
        <v>10</v>
      </c>
      <c r="B10" s="9" t="e">
        <f>B4-B9</f>
        <v>#REF!</v>
      </c>
      <c r="C10" s="9" t="e">
        <f aca="true" t="shared" si="6" ref="C10:O10">C4-C9</f>
        <v>#REF!</v>
      </c>
      <c r="D10" s="9" t="e">
        <f t="shared" si="6"/>
        <v>#REF!</v>
      </c>
      <c r="E10" s="9">
        <f t="shared" si="6"/>
        <v>-1108.6000000000058</v>
      </c>
      <c r="F10" s="9">
        <f t="shared" si="6"/>
        <v>1040.9000000000233</v>
      </c>
      <c r="G10" s="9">
        <f t="shared" si="6"/>
        <v>1007.4000000000233</v>
      </c>
      <c r="H10" s="9">
        <f t="shared" si="6"/>
        <v>1331.6167636226455</v>
      </c>
      <c r="I10" s="9">
        <f t="shared" si="6"/>
        <v>1331.6173107464856</v>
      </c>
      <c r="J10" s="9">
        <v>0</v>
      </c>
      <c r="K10" s="9">
        <f t="shared" si="6"/>
        <v>-0.000754302047425881</v>
      </c>
      <c r="L10" s="9">
        <f t="shared" si="6"/>
        <v>0.03680181331583299</v>
      </c>
      <c r="M10" s="9">
        <f t="shared" si="6"/>
        <v>0.026957732596201822</v>
      </c>
      <c r="N10" s="9">
        <f t="shared" si="6"/>
        <v>-0.04007876856485382</v>
      </c>
      <c r="O10" s="9">
        <f t="shared" si="6"/>
        <v>-0.04893516915035434</v>
      </c>
    </row>
    <row r="11" spans="1:15" ht="18.75">
      <c r="A11" s="2" t="s">
        <v>11</v>
      </c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4:15" ht="23.25">
      <c r="N12" s="78" t="s">
        <v>86</v>
      </c>
      <c r="O12" s="78"/>
    </row>
    <row r="13" spans="1:15" ht="18.75">
      <c r="A13" s="1" t="s">
        <v>0</v>
      </c>
      <c r="B13" s="1" t="s">
        <v>1</v>
      </c>
      <c r="C13" s="1" t="s">
        <v>2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21</v>
      </c>
      <c r="N13" s="1" t="s">
        <v>22</v>
      </c>
      <c r="O13" s="1" t="s">
        <v>3</v>
      </c>
    </row>
    <row r="14" spans="1:15" ht="75">
      <c r="A14" s="6" t="s">
        <v>23</v>
      </c>
      <c r="B14" s="9" t="e">
        <f>B15+B35</f>
        <v>#REF!</v>
      </c>
      <c r="C14" s="9" t="e">
        <f aca="true" t="shared" si="7" ref="C14:O14">C15+C35</f>
        <v>#REF!</v>
      </c>
      <c r="D14" s="9" t="e">
        <f t="shared" si="7"/>
        <v>#REF!</v>
      </c>
      <c r="E14" s="9">
        <f t="shared" si="7"/>
        <v>217050.40000000002</v>
      </c>
      <c r="F14" s="9">
        <f t="shared" si="7"/>
        <v>172594.2</v>
      </c>
      <c r="G14" s="9">
        <f t="shared" si="7"/>
        <v>173845.40000000002</v>
      </c>
      <c r="H14" s="9">
        <f t="shared" si="7"/>
        <v>177064.79886362265</v>
      </c>
      <c r="I14" s="9">
        <f t="shared" si="7"/>
        <v>180467.41568902647</v>
      </c>
      <c r="J14" s="9">
        <f t="shared" si="7"/>
        <v>183946.58521646564</v>
      </c>
      <c r="K14" s="9">
        <f t="shared" si="7"/>
        <v>187504.59242361452</v>
      </c>
      <c r="L14" s="9">
        <f t="shared" si="7"/>
        <v>191143.85092788207</v>
      </c>
      <c r="M14" s="9">
        <f t="shared" si="7"/>
        <v>194866.91479680993</v>
      </c>
      <c r="N14" s="9">
        <f t="shared" si="7"/>
        <v>198676.49166302138</v>
      </c>
      <c r="O14" s="9">
        <f t="shared" si="7"/>
        <v>202575.45729468425</v>
      </c>
    </row>
    <row r="15" spans="1:15" ht="37.5">
      <c r="A15" s="6" t="s">
        <v>24</v>
      </c>
      <c r="B15" s="9" t="e">
        <f>B16+B27</f>
        <v>#REF!</v>
      </c>
      <c r="C15" s="9" t="e">
        <f aca="true" t="shared" si="8" ref="C15:O15">C16+C27</f>
        <v>#REF!</v>
      </c>
      <c r="D15" s="9" t="e">
        <f t="shared" si="8"/>
        <v>#REF!</v>
      </c>
      <c r="E15" s="9">
        <f t="shared" si="8"/>
        <v>114086.40000000001</v>
      </c>
      <c r="F15" s="9">
        <f t="shared" si="8"/>
        <v>95748.60000000002</v>
      </c>
      <c r="G15" s="9">
        <f t="shared" si="8"/>
        <v>96999.8</v>
      </c>
      <c r="H15" s="9">
        <f t="shared" si="8"/>
        <v>98830.14286362266</v>
      </c>
      <c r="I15" s="9">
        <f t="shared" si="8"/>
        <v>100815.92256902647</v>
      </c>
      <c r="J15" s="9">
        <f t="shared" si="8"/>
        <v>102849.91823406564</v>
      </c>
      <c r="K15" s="9">
        <f t="shared" si="8"/>
        <v>104933.8481015665</v>
      </c>
      <c r="L15" s="9">
        <f t="shared" si="8"/>
        <v>107069.54771939307</v>
      </c>
      <c r="M15" s="9">
        <f t="shared" si="8"/>
        <v>109258.98152415117</v>
      </c>
      <c r="N15" s="9">
        <f t="shared" si="8"/>
        <v>111504.25572490945</v>
      </c>
      <c r="O15" s="9">
        <f t="shared" si="8"/>
        <v>113807.6326378101</v>
      </c>
    </row>
    <row r="16" spans="1:15" ht="19.5">
      <c r="A16" s="7" t="s">
        <v>25</v>
      </c>
      <c r="B16" s="9" t="e">
        <f>B17+B18+B19+B20+B21+B22+B23+B24+B25+B26</f>
        <v>#REF!</v>
      </c>
      <c r="C16" s="9" t="e">
        <f aca="true" t="shared" si="9" ref="C16:O16">C17+C18+C19+C20+C21+C22+C23+C24+C25+C26</f>
        <v>#REF!</v>
      </c>
      <c r="D16" s="9" t="e">
        <f t="shared" si="9"/>
        <v>#REF!</v>
      </c>
      <c r="E16" s="9">
        <f t="shared" si="9"/>
        <v>80283.20000000001</v>
      </c>
      <c r="F16" s="9">
        <f t="shared" si="9"/>
        <v>81002.00000000001</v>
      </c>
      <c r="G16" s="9">
        <f t="shared" si="9"/>
        <v>82240.2</v>
      </c>
      <c r="H16" s="9">
        <f t="shared" si="9"/>
        <v>83716.23700000001</v>
      </c>
      <c r="I16" s="9">
        <f t="shared" si="9"/>
        <v>85381.91551000004</v>
      </c>
      <c r="J16" s="9">
        <f t="shared" si="9"/>
        <v>87084.15252094003</v>
      </c>
      <c r="K16" s="9">
        <f t="shared" si="9"/>
        <v>88823.8982622603</v>
      </c>
      <c r="L16" s="9">
        <f t="shared" si="9"/>
        <v>90602.13807962678</v>
      </c>
      <c r="M16" s="9">
        <f t="shared" si="9"/>
        <v>92419.89445765875</v>
      </c>
      <c r="N16" s="9">
        <f t="shared" si="9"/>
        <v>94278.22920061123</v>
      </c>
      <c r="O16" s="9">
        <f t="shared" si="9"/>
        <v>96178.24578519433</v>
      </c>
    </row>
    <row r="17" spans="1:15" ht="18.75">
      <c r="A17" s="8" t="s">
        <v>26</v>
      </c>
      <c r="B17" s="9" t="e">
        <f>район!B16+ив!B16+мортки!B16+затеиха!#REF!+сеготь!B16+город!B19</f>
        <v>#REF!</v>
      </c>
      <c r="C17" s="9" t="e">
        <f>район!C16+ив!C16+мортки!C16+затеиха!#REF!+сеготь!C16+город!C19</f>
        <v>#REF!</v>
      </c>
      <c r="D17" s="9" t="e">
        <f>район!D16+ив!D16+мортки!D16+затеиха!#REF!+сеготь!D16+город!D19</f>
        <v>#REF!</v>
      </c>
      <c r="E17" s="9">
        <f>район!E16+ив!E16+мортки!E16+затеиха!B16+сеготь!E16+город!E19</f>
        <v>63493</v>
      </c>
      <c r="F17" s="9">
        <f>район!F16+ив!F16+мортки!F16+затеиха!C16+сеготь!F16+город!F19</f>
        <v>65228.1</v>
      </c>
      <c r="G17" s="9">
        <f>район!G16+ив!G16+мортки!G16+затеиха!D16+сеготь!G16+город!G19</f>
        <v>66607.2</v>
      </c>
      <c r="H17" s="9">
        <f>район!H16+ив!H16+мортки!H16+затеиха!E16+сеготь!H16+город!H19</f>
        <v>67939.34400000001</v>
      </c>
      <c r="I17" s="9">
        <f>район!I16+ив!I16+мортки!I16+затеиха!F16+сеготь!I16+город!I19</f>
        <v>69298.13088000001</v>
      </c>
      <c r="J17" s="9">
        <f>район!J16+ив!J16+мортки!J16+затеиха!G16+сеготь!J16+город!J19</f>
        <v>70684.09349760001</v>
      </c>
      <c r="K17" s="9">
        <f>район!K16+ив!K16+мортки!K16+затеиха!H16+сеготь!K16+город!K19</f>
        <v>72097.77536755202</v>
      </c>
      <c r="L17" s="9">
        <f>район!L16+ив!L16+мортки!L16+затеиха!I16+сеготь!L16+город!L19</f>
        <v>73539.73087490306</v>
      </c>
      <c r="M17" s="9">
        <f>район!M16+ив!M16+мортки!M16+затеиха!J16+сеготь!M16+город!M19</f>
        <v>75010.52549240112</v>
      </c>
      <c r="N17" s="9">
        <f>район!N16+ив!N16+мортки!N16+затеиха!K16+сеготь!N16+город!N19</f>
        <v>76510.73600224915</v>
      </c>
      <c r="O17" s="9">
        <f>район!O16+ив!O16+мортки!O16+затеиха!L16+сеготь!O16+город!O19</f>
        <v>78040.95072229413</v>
      </c>
    </row>
    <row r="18" spans="1:15" ht="56.25">
      <c r="A18" s="8" t="s">
        <v>27</v>
      </c>
      <c r="B18" s="9" t="e">
        <f>район!B17+ив!B17+мортки!B17+затеиха!#REF!+сеготь!B17+город!B20</f>
        <v>#REF!</v>
      </c>
      <c r="C18" s="9" t="e">
        <f>район!C17+ив!C17+мортки!C17+затеиха!#REF!+сеготь!C17+город!C20</f>
        <v>#REF!</v>
      </c>
      <c r="D18" s="9" t="e">
        <f>район!D17+ив!D17+мортки!D17+затеиха!#REF!+сеготь!D17+город!D20</f>
        <v>#REF!</v>
      </c>
      <c r="E18" s="9">
        <f>район!E17+ив!E17+мортки!E17+затеиха!B17+сеготь!E17+город!E20</f>
        <v>7968.9</v>
      </c>
      <c r="F18" s="9">
        <f>район!F17+ив!F17+мортки!F17+затеиха!C17+сеготь!F17+город!F20</f>
        <v>7968.9</v>
      </c>
      <c r="G18" s="9">
        <f>район!G17+ив!G17+мортки!G17+затеиха!D17+сеготь!G17+город!G20</f>
        <v>7968.9</v>
      </c>
      <c r="H18" s="9">
        <f>район!H17+ив!H17+мортки!H17+затеиха!E17+сеготь!H17+город!H20</f>
        <v>8172.591</v>
      </c>
      <c r="I18" s="9">
        <f>район!I17+ив!I17+мортки!I17+затеиха!F17+сеготь!I17+город!I20</f>
        <v>8382.57147</v>
      </c>
      <c r="J18" s="9">
        <f>район!J17+ив!J17+мортки!J17+затеиха!G17+сеготь!J17+город!J20</f>
        <v>8599.0779819</v>
      </c>
      <c r="K18" s="9">
        <f>район!K17+ив!K17+мортки!K17+затеиха!H17+сеготь!K17+город!K20</f>
        <v>8822.357378163</v>
      </c>
      <c r="L18" s="9">
        <f>район!L17+ив!L17+мортки!L17+затеиха!I17+сеготь!L17+город!L20</f>
        <v>9052.66725418251</v>
      </c>
      <c r="M18" s="9">
        <f>район!M17+ив!M17+мортки!M17+затеиха!J17+сеготь!M17+город!M20</f>
        <v>9290.276464145223</v>
      </c>
      <c r="N18" s="9">
        <f>район!N17+ив!N17+мортки!N17+затеиха!K17+сеготь!N17+город!N20</f>
        <v>9535.465651551143</v>
      </c>
      <c r="O18" s="9">
        <f>район!O17+ив!O17+мортки!O17+затеиха!L17+сеготь!O17+город!O20</f>
        <v>9788.527805611335</v>
      </c>
    </row>
    <row r="19" spans="1:15" ht="37.5">
      <c r="A19" s="8" t="s">
        <v>28</v>
      </c>
      <c r="B19" s="9" t="e">
        <f>район!B18+ив!B18+мортки!B18+затеиха!#REF!+сеготь!B18+город!B21</f>
        <v>#REF!</v>
      </c>
      <c r="C19" s="9" t="e">
        <f>район!C18+ив!C18+мортки!C18+затеиха!#REF!+сеготь!C18+город!C21</f>
        <v>#REF!</v>
      </c>
      <c r="D19" s="9" t="e">
        <f>район!D18+ив!D18+мортки!D18+затеиха!#REF!+сеготь!D18+город!D21</f>
        <v>#REF!</v>
      </c>
      <c r="E19" s="9">
        <f>район!E18+ив!E18+мортки!E18+затеиха!B18+сеготь!E18+город!E21</f>
        <v>1520</v>
      </c>
      <c r="F19" s="9">
        <f>район!F18+ив!F18+мортки!F18+затеиха!C18+сеготь!F18+город!F21</f>
        <v>300</v>
      </c>
      <c r="G19" s="9">
        <f>район!G18+ив!G18+мортки!G18+затеиха!D18+сеготь!G18+город!G21</f>
        <v>0</v>
      </c>
      <c r="H19" s="9">
        <f>район!H18+ив!H18+мортки!H18+затеиха!E18+сеготь!H18+город!H21</f>
        <v>0</v>
      </c>
      <c r="I19" s="9">
        <f>район!I18+ив!I18+мортки!I18+затеиха!F18+сеготь!I18+город!I21</f>
        <v>0</v>
      </c>
      <c r="J19" s="9">
        <f>район!J18+ив!J18+мортки!J18+затеиха!G18+сеготь!J18+город!J21</f>
        <v>0</v>
      </c>
      <c r="K19" s="9">
        <f>район!K18+ив!K18+мортки!K18+затеиха!H18+сеготь!K18+город!K21</f>
        <v>0</v>
      </c>
      <c r="L19" s="9">
        <f>район!L18+ив!L18+мортки!L18+затеиха!I18+сеготь!L18+город!L21</f>
        <v>0</v>
      </c>
      <c r="M19" s="9">
        <f>район!M18+ив!M18+мортки!M18+затеиха!J18+сеготь!M18+город!M21</f>
        <v>0</v>
      </c>
      <c r="N19" s="9">
        <f>район!N18+ив!N18+мортки!N18+затеиха!K18+сеготь!N18+город!N21</f>
        <v>0</v>
      </c>
      <c r="O19" s="9">
        <f>район!O18+ив!O18+мортки!O18+затеиха!L18+сеготь!O18+город!O21</f>
        <v>0</v>
      </c>
    </row>
    <row r="20" spans="1:15" ht="37.5">
      <c r="A20" s="8" t="s">
        <v>29</v>
      </c>
      <c r="B20" s="9" t="e">
        <f>район!B19+ив!B19+мортки!B19+затеиха!#REF!+сеготь!B19+город!B22</f>
        <v>#REF!</v>
      </c>
      <c r="C20" s="9" t="e">
        <f>район!C19+ив!C19+мортки!C19+затеиха!#REF!+сеготь!C19+город!C22</f>
        <v>#REF!</v>
      </c>
      <c r="D20" s="9" t="e">
        <f>район!D19+ив!D19+мортки!D19+затеиха!#REF!+сеготь!D19+город!D22</f>
        <v>#REF!</v>
      </c>
      <c r="E20" s="9">
        <f>район!E19+ив!E19+мортки!E19+затеиха!B19+сеготь!E19+город!E22</f>
        <v>848.1</v>
      </c>
      <c r="F20" s="9">
        <f>район!F19+ив!F19+мортки!F19+затеиха!C19+сеготь!F19+город!F22</f>
        <v>923.1</v>
      </c>
      <c r="G20" s="9">
        <f>район!G19+ив!G19+мортки!G19+затеиха!D19+сеготь!G19+город!G22</f>
        <v>999.2</v>
      </c>
      <c r="H20" s="9">
        <f>район!H19+ив!H19+мортки!H19+затеиха!E19+сеготь!H19+город!H22</f>
        <v>1019.1840000000001</v>
      </c>
      <c r="I20" s="9">
        <f>район!I19+ив!I19+мортки!I19+затеиха!F19+сеготь!I19+город!I22</f>
        <v>1039.56768</v>
      </c>
      <c r="J20" s="9">
        <f>район!J19+ив!J19+мортки!J19+затеиха!G19+сеготь!J19+город!J22</f>
        <v>1060.3590336</v>
      </c>
      <c r="K20" s="9">
        <f>район!K19+ив!K19+мортки!K19+затеиха!H19+сеготь!K19+город!K22</f>
        <v>1081.566214272</v>
      </c>
      <c r="L20" s="9">
        <f>район!L19+ив!L19+мортки!L19+затеиха!I19+сеготь!L19+город!L22</f>
        <v>1103.19753855744</v>
      </c>
      <c r="M20" s="9">
        <f>район!M19+ив!M19+мортки!M19+затеиха!J19+сеготь!M19+город!M22</f>
        <v>1125.261489328589</v>
      </c>
      <c r="N20" s="9">
        <f>район!N19+ив!N19+мортки!N19+затеиха!K19+сеготь!N19+город!N22</f>
        <v>1147.7667191151609</v>
      </c>
      <c r="O20" s="9">
        <f>район!O19+ив!O19+мортки!O19+затеиха!L19+сеготь!O19+город!O22</f>
        <v>1170.7220534974642</v>
      </c>
    </row>
    <row r="21" spans="1:15" ht="56.25">
      <c r="A21" s="8" t="s">
        <v>30</v>
      </c>
      <c r="B21" s="9" t="e">
        <f>район!B20+ив!B20+мортки!B20+затеиха!#REF!+сеготь!B20+город!B23</f>
        <v>#REF!</v>
      </c>
      <c r="C21" s="9" t="e">
        <f>район!C20+ив!C20+мортки!C20+затеиха!#REF!+сеготь!C20+город!C23</f>
        <v>#REF!</v>
      </c>
      <c r="D21" s="9" t="e">
        <f>район!D20+ив!D20+мортки!D20+затеиха!#REF!+сеготь!D20+город!D23</f>
        <v>#REF!</v>
      </c>
      <c r="E21" s="9">
        <f>район!E20+ив!E20+мортки!E20+затеиха!B20+сеготь!E20+город!E23</f>
        <v>105</v>
      </c>
      <c r="F21" s="9">
        <f>район!F20+ив!F20+мортки!F20+затеиха!C20+сеготь!F20+город!F23</f>
        <v>111</v>
      </c>
      <c r="G21" s="9">
        <f>район!G20+ив!G20+мортки!G20+затеиха!D20+сеготь!G20+город!G23</f>
        <v>117</v>
      </c>
      <c r="H21" s="9">
        <f>район!H20+ив!H20+мортки!H20+затеиха!E20+сеготь!H20+город!H23</f>
        <v>128.70000000000002</v>
      </c>
      <c r="I21" s="9">
        <f>район!I20+ив!I20+мортки!I20+затеиха!F20+сеготь!I20+город!I23</f>
        <v>141.57000000000002</v>
      </c>
      <c r="J21" s="9">
        <f>район!J20+ив!J20+мортки!J20+затеиха!G20+сеготь!J20+город!J23</f>
        <v>155.72700000000003</v>
      </c>
      <c r="K21" s="9">
        <f>район!K20+ив!K20+мортки!K20+затеиха!H20+сеготь!K20+город!K23</f>
        <v>171.29970000000006</v>
      </c>
      <c r="L21" s="9">
        <f>район!L20+ив!L20+мортки!L20+затеиха!I20+сеготь!L20+город!L23</f>
        <v>188.42967000000007</v>
      </c>
      <c r="M21" s="9">
        <f>район!M20+ив!M20+мортки!M20+затеиха!J20+сеготь!M20+город!M23</f>
        <v>207.2726370000001</v>
      </c>
      <c r="N21" s="9">
        <f>район!N20+ив!N20+мортки!N20+затеиха!K20+сеготь!N20+город!N23</f>
        <v>227.99990070000013</v>
      </c>
      <c r="O21" s="9">
        <f>район!O20+ив!O20+мортки!O20+затеиха!L20+сеготь!O20+город!O23</f>
        <v>250.79989077000016</v>
      </c>
    </row>
    <row r="22" spans="1:15" ht="37.5">
      <c r="A22" s="8" t="s">
        <v>31</v>
      </c>
      <c r="B22" s="9" t="e">
        <f>район!B21+ив!B21+мортки!B21+затеиха!#REF!+сеготь!B21+город!B24</f>
        <v>#REF!</v>
      </c>
      <c r="C22" s="9" t="e">
        <f>район!C21+ив!C21+мортки!C21+затеиха!#REF!+сеготь!C21+город!C24</f>
        <v>#REF!</v>
      </c>
      <c r="D22" s="9" t="e">
        <f>район!D21+ив!D21+мортки!D21+затеиха!#REF!+сеготь!D21+город!D24</f>
        <v>#REF!</v>
      </c>
      <c r="E22" s="9">
        <f>район!E21+ив!E21+мортки!E21+затеиха!B21+сеготь!E21+город!E24</f>
        <v>802.1</v>
      </c>
      <c r="F22" s="9">
        <f>район!F21+ив!F21+мортки!F21+затеиха!C21+сеготь!F21+город!F24</f>
        <v>813.6</v>
      </c>
      <c r="G22" s="9">
        <f>район!G21+ив!G21+мортки!G21+затеиха!D21+сеготь!G21+город!G24</f>
        <v>828.6</v>
      </c>
      <c r="H22" s="9">
        <f>район!H21+ив!H21+мортки!H21+затеиха!E21+сеготь!H21+город!H24</f>
        <v>678.172</v>
      </c>
      <c r="I22" s="9">
        <f>район!I21+ив!I21+мортки!I21+затеиха!F21+сеготь!I21+город!I24</f>
        <v>681.81544</v>
      </c>
      <c r="J22" s="9">
        <f>район!J21+ив!J21+мортки!J21+затеиха!G21+сеготь!J21+город!J24</f>
        <v>685.5317488000001</v>
      </c>
      <c r="K22" s="9">
        <f>район!K21+ив!K21+мортки!K21+затеиха!H21+сеготь!K21+город!K24</f>
        <v>689.322383776</v>
      </c>
      <c r="L22" s="9">
        <f>район!L21+ив!L21+мортки!L21+затеиха!I21+сеготь!L21+город!L24</f>
        <v>693.1888314515201</v>
      </c>
      <c r="M22" s="9">
        <f>район!M21+ив!M21+мортки!M21+затеиха!J21+сеготь!M21+город!M24</f>
        <v>697.1326080805504</v>
      </c>
      <c r="N22" s="9">
        <f>район!N21+ив!N21+мортки!N21+затеиха!K21+сеготь!N21+город!N24</f>
        <v>701.1552602421614</v>
      </c>
      <c r="O22" s="9">
        <f>район!O21+ив!O21+мортки!O21+затеиха!L21+сеготь!O21+город!O24</f>
        <v>705.2583654470046</v>
      </c>
    </row>
    <row r="23" spans="1:15" ht="18.75">
      <c r="A23" s="8" t="s">
        <v>32</v>
      </c>
      <c r="B23" s="9" t="e">
        <f>район!B22+ив!B22+мортки!B22+затеиха!#REF!+сеготь!B22+город!B25</f>
        <v>#REF!</v>
      </c>
      <c r="C23" s="9" t="e">
        <f>район!C22+ив!C22+мортки!C22+затеиха!#REF!+сеготь!C22+город!C25</f>
        <v>#REF!</v>
      </c>
      <c r="D23" s="9" t="e">
        <f>район!D22+ив!D22+мортки!D22+затеиха!#REF!+сеготь!D22+город!D25</f>
        <v>#REF!</v>
      </c>
      <c r="E23" s="9">
        <f>район!E22+ив!E22+мортки!E22+затеиха!B22+сеготь!E22+город!E25</f>
        <v>4394.1</v>
      </c>
      <c r="F23" s="9">
        <f>район!F22+ив!F22+мортки!F22+затеиха!C22+сеготь!F22+город!F25</f>
        <v>4455.3</v>
      </c>
      <c r="G23" s="9">
        <f>район!G22+ив!G22+мортки!G22+затеиха!D22+сеготь!G22+город!G25</f>
        <v>4517.3</v>
      </c>
      <c r="H23" s="9">
        <f>район!H22+ив!H22+мортки!H22+затеиха!E22+сеготь!H22+город!H25</f>
        <v>4552.206</v>
      </c>
      <c r="I23" s="9">
        <f>район!I22+ив!I22+мортки!I22+затеиха!F22+сеготь!I22+город!I25</f>
        <v>4587.69924</v>
      </c>
      <c r="J23" s="9">
        <f>район!J22+ив!J22+мортки!J22+затеиха!G22+сеготь!J22+город!J25</f>
        <v>4623.79124304</v>
      </c>
      <c r="K23" s="9">
        <f>район!K22+ив!K22+мортки!K22+затеиха!H22+сеготь!K22+город!K25</f>
        <v>4660.49376217728</v>
      </c>
      <c r="L23" s="9">
        <f>район!L22+ив!L22+мортки!L22+затеиха!I22+сеготь!L22+город!L25</f>
        <v>4697.8187850858585</v>
      </c>
      <c r="M23" s="9">
        <f>район!M22+ив!M22+мортки!M22+затеиха!J22+сеготь!M22+город!M25</f>
        <v>4735.778538747938</v>
      </c>
      <c r="N23" s="9">
        <f>район!N22+ив!N22+мортки!N22+затеиха!K22+сеготь!N22+город!N25</f>
        <v>4774.385494239181</v>
      </c>
      <c r="O23" s="9">
        <f>район!O22+ив!O22+мортки!O22+затеиха!L22+сеготь!O22+город!O25</f>
        <v>4813.652371609681</v>
      </c>
    </row>
    <row r="24" spans="1:15" ht="56.25">
      <c r="A24" s="8" t="s">
        <v>33</v>
      </c>
      <c r="B24" s="9" t="e">
        <f>район!B23+ив!B23+мортки!B23+затеиха!#REF!+сеготь!B23+город!B26</f>
        <v>#REF!</v>
      </c>
      <c r="C24" s="9" t="e">
        <f>район!C23+ив!C23+мортки!C23+затеиха!#REF!+сеготь!C23+город!C26</f>
        <v>#REF!</v>
      </c>
      <c r="D24" s="9" t="e">
        <f>район!D23+ив!D23+мортки!D23+затеиха!#REF!+сеготь!D23+город!D26</f>
        <v>#REF!</v>
      </c>
      <c r="E24" s="9">
        <f>район!E23+ив!E23+мортки!E23+затеиха!B23+сеготь!E23+город!E26</f>
        <v>0</v>
      </c>
      <c r="F24" s="9">
        <f>район!F23+ив!F23+мортки!F23+затеиха!C23+сеготь!F23+город!F26</f>
        <v>0</v>
      </c>
      <c r="G24" s="9">
        <f>район!G23+ив!G23+мортки!G23+затеиха!D23+сеготь!G23+город!G26</f>
        <v>0</v>
      </c>
      <c r="H24" s="9">
        <f>район!H23+ив!H23+мортки!H23+затеиха!E23+сеготь!H23+город!H26</f>
        <v>0</v>
      </c>
      <c r="I24" s="9">
        <f>район!I23+ив!I23+мортки!I23+затеиха!F23+сеготь!I23+город!I26</f>
        <v>0</v>
      </c>
      <c r="J24" s="9">
        <f>район!J23+ив!J23+мортки!J23+затеиха!G23+сеготь!J23+город!J26</f>
        <v>0</v>
      </c>
      <c r="K24" s="9">
        <f>район!K23+ив!K23+мортки!K23+затеиха!H23+сеготь!K23+город!K26</f>
        <v>0</v>
      </c>
      <c r="L24" s="9">
        <f>район!L23+ив!L23+мортки!L23+затеиха!I23+сеготь!L23+город!L26</f>
        <v>0</v>
      </c>
      <c r="M24" s="9">
        <f>район!M23+ив!M23+мортки!M23+затеиха!J23+сеготь!M23+город!M26</f>
        <v>0</v>
      </c>
      <c r="N24" s="9">
        <f>район!N23+ив!N23+мортки!N23+затеиха!K23+сеготь!N23+город!N26</f>
        <v>0</v>
      </c>
      <c r="O24" s="9">
        <f>район!O23+ив!O23+мортки!O23+затеиха!L23+сеготь!O23+город!O26</f>
        <v>0</v>
      </c>
    </row>
    <row r="25" spans="1:15" ht="18.75">
      <c r="A25" s="8" t="s">
        <v>34</v>
      </c>
      <c r="B25" s="9" t="e">
        <f>район!B24+ив!B24+мортки!B24+затеиха!#REF!+сеготь!B24+город!B27</f>
        <v>#REF!</v>
      </c>
      <c r="C25" s="9" t="e">
        <f>район!C24+ив!C24+мортки!C24+затеиха!#REF!+сеготь!C24+город!C27</f>
        <v>#REF!</v>
      </c>
      <c r="D25" s="9" t="e">
        <f>район!D24+ив!D24+мортки!D24+затеиха!#REF!+сеготь!D24+город!D27</f>
        <v>#REF!</v>
      </c>
      <c r="E25" s="9">
        <f>район!E24+ив!E24+мортки!E24+затеиха!B24+сеготь!E24+город!E27</f>
        <v>1152</v>
      </c>
      <c r="F25" s="9">
        <f>район!F24+ив!F24+мортки!F24+затеиха!C24+сеготь!F24+город!F27</f>
        <v>1202</v>
      </c>
      <c r="G25" s="9">
        <f>район!G24+ив!G24+мортки!G24+затеиха!D24+сеготь!G24+город!G27</f>
        <v>1202</v>
      </c>
      <c r="H25" s="9">
        <f>район!H24+ив!H24+мортки!H24+затеиха!E24+сеготь!H24+город!H27</f>
        <v>1226.04</v>
      </c>
      <c r="I25" s="9">
        <f>район!I24+ив!I24+мортки!I24+затеиха!F24+сеготь!I24+город!I27</f>
        <v>1250.5608000000002</v>
      </c>
      <c r="J25" s="9">
        <f>район!J24+ив!J24+мортки!J24+затеиха!G24+сеготь!J24+город!J27</f>
        <v>1275.5720160000003</v>
      </c>
      <c r="K25" s="9">
        <f>район!K24+ив!K24+мортки!K24+затеиха!H24+сеготь!K24+город!K27</f>
        <v>1301.0834563200003</v>
      </c>
      <c r="L25" s="9">
        <f>район!L24+ив!L24+мортки!L24+затеиха!I24+сеготь!L24+город!L27</f>
        <v>1327.1051254464005</v>
      </c>
      <c r="M25" s="9">
        <f>район!M24+ив!M24+мортки!M24+затеиха!J24+сеготь!M24+город!M27</f>
        <v>1353.6472279553282</v>
      </c>
      <c r="N25" s="9">
        <f>район!N24+ив!N24+мортки!N24+затеиха!K24+сеготь!N24+город!N27</f>
        <v>1380.720172514435</v>
      </c>
      <c r="O25" s="9">
        <f>район!O24+ив!O24+мортки!O24+затеиха!L24+сеготь!O24+город!O27</f>
        <v>1408.3345759647236</v>
      </c>
    </row>
    <row r="26" spans="1:15" ht="56.25">
      <c r="A26" s="8" t="s">
        <v>35</v>
      </c>
      <c r="B26" s="9" t="e">
        <f>район!B25+ив!B25+мортки!B25+затеиха!#REF!+сеготь!B25+город!B28</f>
        <v>#REF!</v>
      </c>
      <c r="C26" s="9" t="e">
        <f>район!C25+ив!C25+мортки!C25+затеиха!#REF!+сеготь!C25+город!C28</f>
        <v>#REF!</v>
      </c>
      <c r="D26" s="9" t="e">
        <f>район!D25+ив!D25+мортки!D25+затеиха!#REF!+сеготь!D25+город!D28</f>
        <v>#REF!</v>
      </c>
      <c r="E26" s="9">
        <f>район!E25+ив!E25+мортки!E25+затеиха!B25+сеготь!E25+город!E28</f>
        <v>0</v>
      </c>
      <c r="F26" s="9">
        <f>район!F25+ив!F25+мортки!F25+затеиха!C25+сеготь!F25+город!F28</f>
        <v>0</v>
      </c>
      <c r="G26" s="9">
        <f>район!G25+ив!G25+мортки!G25+затеиха!D25+сеготь!G25+город!G28</f>
        <v>0</v>
      </c>
      <c r="H26" s="9">
        <f>район!H25+ив!H25+мортки!H25+затеиха!E25+сеготь!H25+город!H28</f>
        <v>0</v>
      </c>
      <c r="I26" s="9">
        <f>район!I25+ив!I25+мортки!I25+затеиха!F25+сеготь!I25+город!I28</f>
        <v>0</v>
      </c>
      <c r="J26" s="9">
        <f>район!J25+ив!J25+мортки!J25+затеиха!G25+сеготь!J25+город!J28</f>
        <v>0</v>
      </c>
      <c r="K26" s="9">
        <f>район!K25+ив!K25+мортки!K25+затеиха!H25+сеготь!K25+город!K28</f>
        <v>0</v>
      </c>
      <c r="L26" s="9">
        <f>район!L25+ив!L25+мортки!L25+затеиха!I25+сеготь!L25+город!L28</f>
        <v>0</v>
      </c>
      <c r="M26" s="9">
        <f>район!M25+ив!M25+мортки!M25+затеиха!J25+сеготь!M25+город!M28</f>
        <v>0</v>
      </c>
      <c r="N26" s="9">
        <f>район!N25+ив!N25+мортки!N25+затеиха!K25+сеготь!N25+город!N28</f>
        <v>0</v>
      </c>
      <c r="O26" s="9">
        <f>район!O25+ив!O25+мортки!O25+затеиха!L25+сеготь!O25+город!O28</f>
        <v>0</v>
      </c>
    </row>
    <row r="27" spans="1:15" ht="19.5">
      <c r="A27" s="7" t="s">
        <v>36</v>
      </c>
      <c r="B27" s="9" t="e">
        <f>B28+B29+B30+B31+B32+B33+B34</f>
        <v>#REF!</v>
      </c>
      <c r="C27" s="9" t="e">
        <f aca="true" t="shared" si="10" ref="C27:O27">C28+C29+C30+C31+C32+C33+C34</f>
        <v>#REF!</v>
      </c>
      <c r="D27" s="9" t="e">
        <f t="shared" si="10"/>
        <v>#REF!</v>
      </c>
      <c r="E27" s="9">
        <f t="shared" si="10"/>
        <v>33803.2</v>
      </c>
      <c r="F27" s="9">
        <f t="shared" si="10"/>
        <v>14746.6</v>
      </c>
      <c r="G27" s="9">
        <f t="shared" si="10"/>
        <v>14759.6</v>
      </c>
      <c r="H27" s="9">
        <f t="shared" si="10"/>
        <v>15113.905863622655</v>
      </c>
      <c r="I27" s="9">
        <f t="shared" si="10"/>
        <v>15434.00705902644</v>
      </c>
      <c r="J27" s="9">
        <f t="shared" si="10"/>
        <v>15765.765713125607</v>
      </c>
      <c r="K27" s="9">
        <f t="shared" si="10"/>
        <v>16109.949839306199</v>
      </c>
      <c r="L27" s="9">
        <f t="shared" si="10"/>
        <v>16467.409639766294</v>
      </c>
      <c r="M27" s="9">
        <f t="shared" si="10"/>
        <v>16839.08706649242</v>
      </c>
      <c r="N27" s="9">
        <f t="shared" si="10"/>
        <v>17226.026524298235</v>
      </c>
      <c r="O27" s="9">
        <f t="shared" si="10"/>
        <v>17629.386852615757</v>
      </c>
    </row>
    <row r="28" spans="1:15" ht="75">
      <c r="A28" s="8" t="s">
        <v>37</v>
      </c>
      <c r="B28" s="9" t="e">
        <f>район!B27+ив!B27+мортки!B27+затеиха!#REF!+сеготь!B27+город!B30</f>
        <v>#REF!</v>
      </c>
      <c r="C28" s="9" t="e">
        <f>район!C27+ив!C27+мортки!C27+затеиха!#REF!+сеготь!C27+город!C30</f>
        <v>#REF!</v>
      </c>
      <c r="D28" s="9" t="e">
        <f>район!D27+ив!D27+мортки!D27+затеиха!#REF!+сеготь!D27+город!D30</f>
        <v>#REF!</v>
      </c>
      <c r="E28" s="9">
        <f>район!E27+ив!E27+мортки!E27+затеиха!B27+сеготь!E27+город!E30</f>
        <v>1889.9</v>
      </c>
      <c r="F28" s="9">
        <f>район!F27+ив!F27+мортки!F27+затеиха!C27+сеготь!F27+город!F30</f>
        <v>1900.8</v>
      </c>
      <c r="G28" s="9">
        <f>район!G27+ив!G27+мортки!G27+затеиха!D27+сеготь!G27+город!G30</f>
        <v>1911.3</v>
      </c>
      <c r="H28" s="9">
        <f>район!H27+ив!H27+мортки!H27+затеиха!E27+сеготь!H27+город!H30</f>
        <v>2007.8398636226523</v>
      </c>
      <c r="I28" s="9">
        <f>район!I27+ив!I27+мортки!I27+затеиха!F27+сеготь!I27+город!I30</f>
        <v>2064.9397390264385</v>
      </c>
      <c r="J28" s="9">
        <f>район!J27+ив!J27+мортки!J27+затеиха!G27+сеготь!J27+город!J30</f>
        <v>2128.349046725607</v>
      </c>
      <c r="K28" s="9">
        <f>район!K27+ив!K27+мортки!K27+затеиха!H27+сеготь!K27+город!K30</f>
        <v>2198.7200395781965</v>
      </c>
      <c r="L28" s="9">
        <f>район!L27+ив!L27+мортки!L27+затеиха!I27+сеготь!L27+город!L30</f>
        <v>2276.783964043731</v>
      </c>
      <c r="M28" s="9">
        <f>район!M27+ив!M27+мортки!M27+затеиха!J27+сеготь!M27+город!M30</f>
        <v>2363.360469255405</v>
      </c>
      <c r="N28" s="9">
        <f>район!N27+ив!N27+мортки!N27+затеиха!K27+сеготь!N27+город!N30</f>
        <v>2459.368146316482</v>
      </c>
      <c r="O28" s="9">
        <f>район!O27+ив!O27+мортки!O27+затеиха!L27+сеготь!O27+город!O30</f>
        <v>2565.836333394366</v>
      </c>
    </row>
    <row r="29" spans="1:15" ht="37.5">
      <c r="A29" s="8" t="s">
        <v>38</v>
      </c>
      <c r="B29" s="9">
        <f>район!B28</f>
        <v>428</v>
      </c>
      <c r="C29" s="9">
        <f>район!C28</f>
        <v>436.56</v>
      </c>
      <c r="D29" s="9">
        <f>район!D28</f>
        <v>445.2912</v>
      </c>
      <c r="E29" s="9">
        <f>район!E28</f>
        <v>35.5</v>
      </c>
      <c r="F29" s="9">
        <f>район!F28</f>
        <v>36.9</v>
      </c>
      <c r="G29" s="9">
        <f>район!G28</f>
        <v>38.3</v>
      </c>
      <c r="H29" s="9">
        <f>район!H28</f>
        <v>39.065999999999995</v>
      </c>
      <c r="I29" s="9">
        <f>район!I28</f>
        <v>39.847319999999996</v>
      </c>
      <c r="J29" s="9">
        <f>район!J28</f>
        <v>40.6442664</v>
      </c>
      <c r="K29" s="9">
        <f>район!K28</f>
        <v>41.457151728</v>
      </c>
      <c r="L29" s="9">
        <f>район!L28</f>
        <v>42.28629476256</v>
      </c>
      <c r="M29" s="9">
        <f>район!M28</f>
        <v>43.132020657811196</v>
      </c>
      <c r="N29" s="9">
        <f>район!N28</f>
        <v>43.994661070967425</v>
      </c>
      <c r="O29" s="9">
        <f>район!O28</f>
        <v>44.874554292386776</v>
      </c>
    </row>
    <row r="30" spans="1:15" ht="56.25">
      <c r="A30" s="8" t="s">
        <v>39</v>
      </c>
      <c r="B30" s="9" t="e">
        <f>район!B29+ив!B29+мортки!B29+затеиха!#REF!+сеготь!B29+город!B34</f>
        <v>#REF!</v>
      </c>
      <c r="C30" s="9" t="e">
        <f>район!C29+ив!C29+мортки!C29+затеиха!#REF!+сеготь!C29+город!C34</f>
        <v>#REF!</v>
      </c>
      <c r="D30" s="9" t="e">
        <f>район!D29+ив!D29+мортки!D29+затеиха!#REF!+сеготь!D29+город!D34</f>
        <v>#REF!</v>
      </c>
      <c r="E30" s="9">
        <f>район!E29+ив!E29+мортки!E29+затеиха!B29+сеготь!E29+город!E34</f>
        <v>11847.7</v>
      </c>
      <c r="F30" s="9">
        <f>район!F29+ив!F29+мортки!F29+затеиха!C29+сеготь!F29+город!F34</f>
        <v>11848.3</v>
      </c>
      <c r="G30" s="9">
        <f>район!G29+ив!G29+мортки!G29+затеиха!D29+сеготь!G29+город!G34</f>
        <v>11848.9</v>
      </c>
      <c r="H30" s="9">
        <f>район!H29+ив!H29+мортки!H29+затеиха!E29+сеготь!H29+город!H34</f>
        <v>12085.878</v>
      </c>
      <c r="I30" s="9">
        <f>район!I29+ив!I29+мортки!I29+затеиха!F29+сеготь!I29+город!I34</f>
        <v>12327.595560000002</v>
      </c>
      <c r="J30" s="9">
        <f>район!J29+ив!J29+мортки!J29+затеиха!G29+сеготь!J29+город!J34</f>
        <v>12574.147471199998</v>
      </c>
      <c r="K30" s="9">
        <f>район!K29+ив!K29+мортки!K29+затеиха!H29+сеготь!K29+город!K34</f>
        <v>12825.630420624002</v>
      </c>
      <c r="L30" s="9">
        <f>район!L29+ив!L29+мортки!L29+затеиха!I29+сеготь!L29+город!L34</f>
        <v>13082.143029036482</v>
      </c>
      <c r="M30" s="9">
        <f>район!M29+ив!M29+мортки!M29+затеиха!J29+сеготь!M29+город!M34</f>
        <v>13343.785889617213</v>
      </c>
      <c r="N30" s="9">
        <f>район!N29+ив!N29+мортки!N29+затеиха!K29+сеготь!N29+город!N34</f>
        <v>13610.661607409555</v>
      </c>
      <c r="O30" s="9">
        <f>район!O29+ив!O29+мортки!O29+затеиха!L29+сеготь!O29+город!O34</f>
        <v>13882.874839557748</v>
      </c>
    </row>
    <row r="31" spans="1:15" ht="37.5">
      <c r="A31" s="8" t="s">
        <v>40</v>
      </c>
      <c r="B31" s="9">
        <f>район!B30+мортки!B30+город!B35</f>
        <v>1062.6</v>
      </c>
      <c r="C31" s="9">
        <f>район!C30+мортки!C30+город!C35</f>
        <v>1171.64</v>
      </c>
      <c r="D31" s="9">
        <f>район!D30+мортки!D30+город!D35</f>
        <v>1284.296</v>
      </c>
      <c r="E31" s="9">
        <f>район!E30+мортки!E30+город!E35</f>
        <v>19790</v>
      </c>
      <c r="F31" s="9">
        <f>район!F30+мортки!F30+город!F35</f>
        <v>720</v>
      </c>
      <c r="G31" s="9">
        <f>район!G30+мортки!G30+город!G35</f>
        <v>720</v>
      </c>
      <c r="H31" s="9">
        <f>район!H30+мортки!H30+город!H35</f>
        <v>735.2</v>
      </c>
      <c r="I31" s="9">
        <f>район!I30+мортки!I30+город!I35</f>
        <v>750.7840000000001</v>
      </c>
      <c r="J31" s="9">
        <f>район!J30+мортки!J30+город!J35</f>
        <v>766.7676800000002</v>
      </c>
      <c r="K31" s="9">
        <f>район!K30+мортки!K30+город!K35</f>
        <v>783.1678336000001</v>
      </c>
      <c r="L31" s="9">
        <f>район!L30+мортки!L30+город!L35</f>
        <v>800.0024702720002</v>
      </c>
      <c r="M31" s="9">
        <f>район!M30+мортки!M30+город!M35</f>
        <v>817.2909276774402</v>
      </c>
      <c r="N31" s="9">
        <f>район!N30+мортки!N30+город!N35</f>
        <v>835.0539950309891</v>
      </c>
      <c r="O31" s="9">
        <f>район!O30+мортки!O30+город!O35</f>
        <v>853.314048611609</v>
      </c>
    </row>
    <row r="32" spans="1:15" ht="37.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37.5">
      <c r="A33" s="8" t="s">
        <v>42</v>
      </c>
      <c r="B33" s="9">
        <f>район!B32+город!B37</f>
        <v>870.9</v>
      </c>
      <c r="C33" s="9">
        <f>район!C32+город!C37</f>
        <v>888.318</v>
      </c>
      <c r="D33" s="9">
        <f>район!D32+город!D37</f>
        <v>906.08436</v>
      </c>
      <c r="E33" s="9">
        <f>район!E32+город!E37</f>
        <v>240.1</v>
      </c>
      <c r="F33" s="9">
        <f>район!F32+город!F37</f>
        <v>240.6</v>
      </c>
      <c r="G33" s="9">
        <f>район!G32+город!G37</f>
        <v>241.1</v>
      </c>
      <c r="H33" s="9">
        <f>район!H32+город!H37</f>
        <v>245.922</v>
      </c>
      <c r="I33" s="9">
        <f>район!I32+город!I37</f>
        <v>250.84044</v>
      </c>
      <c r="J33" s="9">
        <f>район!J32+город!J37</f>
        <v>255.8572488</v>
      </c>
      <c r="K33" s="9">
        <f>район!K32+город!K37</f>
        <v>260.974393776</v>
      </c>
      <c r="L33" s="9">
        <f>район!L32+город!L37</f>
        <v>266.19388165152003</v>
      </c>
      <c r="M33" s="9">
        <f>район!M32+город!M37</f>
        <v>271.51775928455044</v>
      </c>
      <c r="N33" s="9">
        <f>район!N32+город!N37</f>
        <v>276.9481144702415</v>
      </c>
      <c r="O33" s="9">
        <f>район!O32+город!O37</f>
        <v>282.4870767596463</v>
      </c>
    </row>
    <row r="34" spans="1:15" ht="18.75">
      <c r="A34" s="8" t="s">
        <v>43</v>
      </c>
      <c r="B34" s="9">
        <f>город!B38</f>
        <v>170</v>
      </c>
      <c r="C34" s="9">
        <f>город!C38</f>
        <v>153</v>
      </c>
      <c r="D34" s="9">
        <f>город!D38</f>
        <v>137.70000000000002</v>
      </c>
      <c r="E34" s="9">
        <f>город!E38</f>
        <v>0</v>
      </c>
      <c r="F34" s="9">
        <f>город!F38</f>
        <v>0</v>
      </c>
      <c r="G34" s="9">
        <f>город!G38</f>
        <v>0</v>
      </c>
      <c r="H34" s="9">
        <f>город!H38</f>
        <v>0</v>
      </c>
      <c r="I34" s="9">
        <f>город!I38</f>
        <v>0</v>
      </c>
      <c r="J34" s="9">
        <f>город!J38</f>
        <v>0</v>
      </c>
      <c r="K34" s="9">
        <f>город!K38</f>
        <v>0</v>
      </c>
      <c r="L34" s="9">
        <f>город!L38</f>
        <v>0</v>
      </c>
      <c r="M34" s="9">
        <f>город!M38</f>
        <v>0</v>
      </c>
      <c r="N34" s="9">
        <f>город!N38</f>
        <v>0</v>
      </c>
      <c r="O34" s="9">
        <f>город!O38</f>
        <v>0</v>
      </c>
    </row>
    <row r="35" spans="1:15" ht="75">
      <c r="A35" s="6" t="s">
        <v>44</v>
      </c>
      <c r="B35" s="9" t="e">
        <f>B36+B37+B38+B39</f>
        <v>#REF!</v>
      </c>
      <c r="C35" s="9" t="e">
        <f aca="true" t="shared" si="11" ref="C35:O35">C36+C37+C38+C39</f>
        <v>#REF!</v>
      </c>
      <c r="D35" s="9" t="e">
        <f t="shared" si="11"/>
        <v>#REF!</v>
      </c>
      <c r="E35" s="9">
        <f t="shared" si="11"/>
        <v>102964</v>
      </c>
      <c r="F35" s="9">
        <f t="shared" si="11"/>
        <v>76845.6</v>
      </c>
      <c r="G35" s="9">
        <f t="shared" si="11"/>
        <v>76845.6</v>
      </c>
      <c r="H35" s="9">
        <f t="shared" si="11"/>
        <v>78234.656</v>
      </c>
      <c r="I35" s="9">
        <f t="shared" si="11"/>
        <v>79651.49312</v>
      </c>
      <c r="J35" s="9">
        <f t="shared" si="11"/>
        <v>81096.6669824</v>
      </c>
      <c r="K35" s="9">
        <f t="shared" si="11"/>
        <v>82570.74432204802</v>
      </c>
      <c r="L35" s="9">
        <f t="shared" si="11"/>
        <v>84074.30320848899</v>
      </c>
      <c r="M35" s="9">
        <f t="shared" si="11"/>
        <v>85607.93327265876</v>
      </c>
      <c r="N35" s="9">
        <f t="shared" si="11"/>
        <v>87172.23593811195</v>
      </c>
      <c r="O35" s="9">
        <f t="shared" si="11"/>
        <v>88767.82465687417</v>
      </c>
    </row>
    <row r="36" spans="1:15" ht="18.75">
      <c r="A36" s="8" t="s">
        <v>45</v>
      </c>
      <c r="B36" s="9" t="e">
        <f>район!B35+ив!B35+мортки!B35+затеиха!#REF!+сеготь!B35+город!B40</f>
        <v>#REF!</v>
      </c>
      <c r="C36" s="9" t="e">
        <f>район!C35+ив!C35+мортки!C35+затеиха!#REF!+сеготь!C35+город!C40</f>
        <v>#REF!</v>
      </c>
      <c r="D36" s="9" t="e">
        <f>район!D35+ив!D35+мортки!D35+затеиха!#REF!+сеготь!D35+город!D40</f>
        <v>#REF!</v>
      </c>
      <c r="E36" s="9">
        <f>район!E35+ив!E35+мортки!E35+затеиха!B35+сеготь!E35+город!E40</f>
        <v>102964</v>
      </c>
      <c r="F36" s="9">
        <f>район!F35+ив!F35+мортки!F35+затеиха!C35+сеготь!F35+город!F40</f>
        <v>76845.6</v>
      </c>
      <c r="G36" s="9">
        <f>район!G35+ив!G35+мортки!G35+затеиха!D35+сеготь!G35+город!G40</f>
        <v>76845.6</v>
      </c>
      <c r="H36" s="9">
        <f>район!H35+ив!H35+мортки!H35+затеиха!E35+сеготь!H35+город!H40</f>
        <v>78234.656</v>
      </c>
      <c r="I36" s="9">
        <f>район!I35+ив!I35+мортки!I35+затеиха!F35+сеготь!I35+город!I40</f>
        <v>79651.49312</v>
      </c>
      <c r="J36" s="9">
        <f>район!J35+ив!J35+мортки!J35+затеиха!G35+сеготь!J35+город!J40</f>
        <v>81096.6669824</v>
      </c>
      <c r="K36" s="9">
        <f>район!K35+ив!K35+мортки!K35+затеиха!H35+сеготь!K35+город!K40</f>
        <v>82570.74432204802</v>
      </c>
      <c r="L36" s="9">
        <f>район!L35+ив!L35+мортки!L35+затеиха!I35+сеготь!L35+город!L40</f>
        <v>84074.30320848899</v>
      </c>
      <c r="M36" s="9">
        <f>район!M35+ив!M35+мортки!M35+затеиха!J35+сеготь!M35+город!M40</f>
        <v>85607.93327265876</v>
      </c>
      <c r="N36" s="9">
        <f>район!N35+ив!N35+мортки!N35+затеиха!K35+сеготь!N35+город!N40</f>
        <v>87172.23593811195</v>
      </c>
      <c r="O36" s="9">
        <f>район!O35+ив!O35+мортки!O35+затеиха!L35+сеготь!O35+город!O40</f>
        <v>88767.82465687417</v>
      </c>
    </row>
    <row r="37" spans="1:15" ht="56.25">
      <c r="A37" s="8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37.5">
      <c r="A38" s="8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37.5">
      <c r="A39" s="8" t="s">
        <v>48</v>
      </c>
      <c r="B39" s="9" t="e">
        <f>ив!B38+мортки!B38+затеиха!#REF!+сеготь!B38</f>
        <v>#REF!</v>
      </c>
      <c r="C39" s="9" t="e">
        <f>ив!C38+мортки!C38+затеиха!#REF!+сеготь!C38</f>
        <v>#REF!</v>
      </c>
      <c r="D39" s="9" t="e">
        <f>ив!D38+мортки!D38+затеиха!#REF!+сеготь!D38</f>
        <v>#REF!</v>
      </c>
      <c r="E39" s="9">
        <f>ив!E38+мортки!E38+затеиха!B38+сеготь!E38</f>
        <v>0</v>
      </c>
      <c r="F39" s="9">
        <f>ив!F38+мортки!F38+затеиха!C38+сеготь!F38</f>
        <v>0</v>
      </c>
      <c r="G39" s="9">
        <f>ив!G38+мортки!G38+затеиха!D38+сеготь!G38</f>
        <v>0</v>
      </c>
      <c r="H39" s="9">
        <f>ив!H38+мортки!H38+затеиха!E38+сеготь!H38</f>
        <v>0</v>
      </c>
      <c r="I39" s="9">
        <f>ив!I38+мортки!I38+затеиха!F38+сеготь!I38</f>
        <v>0</v>
      </c>
      <c r="J39" s="9">
        <f>ив!J38+мортки!J38+затеиха!G38+сеготь!J38</f>
        <v>0</v>
      </c>
      <c r="K39" s="9">
        <f>ив!K38+мортки!K38+затеиха!H38+сеготь!K38</f>
        <v>0</v>
      </c>
      <c r="L39" s="9">
        <f>ив!L38+мортки!L38+затеиха!I38+сеготь!L38</f>
        <v>0</v>
      </c>
      <c r="M39" s="9">
        <f>ив!M38+мортки!M38+затеиха!J38+сеготь!M38</f>
        <v>0</v>
      </c>
      <c r="N39" s="9">
        <f>ив!N38+мортки!N38+затеиха!K38+сеготь!N38</f>
        <v>0</v>
      </c>
      <c r="O39" s="9">
        <f>ив!O38+мортки!O38+затеиха!L38+сеготь!O38</f>
        <v>0</v>
      </c>
    </row>
    <row r="40" spans="14:15" ht="23.25">
      <c r="N40" s="78" t="s">
        <v>87</v>
      </c>
      <c r="O40" s="78"/>
    </row>
    <row r="41" spans="1:15" ht="18.75">
      <c r="A41" s="1" t="s">
        <v>0</v>
      </c>
      <c r="B41" s="1" t="s">
        <v>1</v>
      </c>
      <c r="C41" s="1" t="s">
        <v>2</v>
      </c>
      <c r="D41" s="1" t="s">
        <v>12</v>
      </c>
      <c r="E41" s="1" t="s">
        <v>13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21</v>
      </c>
      <c r="N41" s="1" t="s">
        <v>22</v>
      </c>
      <c r="O41" s="1" t="s">
        <v>3</v>
      </c>
    </row>
    <row r="42" spans="1:15" ht="93.75">
      <c r="A42" s="6" t="s">
        <v>49</v>
      </c>
      <c r="B42" s="9" t="e">
        <f>B44+B45+B46+B47+B49+B48+B50+B51+B52+B53+B54+B55+B56+B57</f>
        <v>#REF!</v>
      </c>
      <c r="C42" s="9" t="e">
        <f aca="true" t="shared" si="12" ref="C42:O42">C44+C45+C46+C47+C49+C48+C50+C51+C52+C53+C54+C55+C56+C57</f>
        <v>#REF!</v>
      </c>
      <c r="D42" s="9" t="e">
        <f t="shared" si="12"/>
        <v>#REF!</v>
      </c>
      <c r="E42" s="9">
        <f>E44+E45+E46+E47+E49+E48+E50+E51+E52+E53+E54+E55+E56+E57</f>
        <v>218159.00000000003</v>
      </c>
      <c r="F42" s="9">
        <f t="shared" si="12"/>
        <v>171553.3</v>
      </c>
      <c r="G42" s="9">
        <f t="shared" si="12"/>
        <v>172838</v>
      </c>
      <c r="H42" s="9">
        <f t="shared" si="12"/>
        <v>175733.1821</v>
      </c>
      <c r="I42" s="9">
        <f t="shared" si="12"/>
        <v>179135.79837828</v>
      </c>
      <c r="J42" s="9">
        <f t="shared" si="12"/>
        <v>183946.64456595495</v>
      </c>
      <c r="K42" s="9">
        <f t="shared" si="12"/>
        <v>187504.59317791657</v>
      </c>
      <c r="L42" s="9">
        <f t="shared" si="12"/>
        <v>191143.81412606876</v>
      </c>
      <c r="M42" s="9">
        <f t="shared" si="12"/>
        <v>194866.88783907733</v>
      </c>
      <c r="N42" s="9">
        <f t="shared" si="12"/>
        <v>198676.53174178995</v>
      </c>
      <c r="O42" s="9">
        <f t="shared" si="12"/>
        <v>202575.5062298534</v>
      </c>
    </row>
    <row r="43" spans="1:15" ht="18.75">
      <c r="A43" s="8" t="s">
        <v>50</v>
      </c>
      <c r="B43" s="9"/>
      <c r="C43" s="9"/>
      <c r="D43" s="9"/>
      <c r="E43" s="9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8.75">
      <c r="A44" s="8" t="s">
        <v>51</v>
      </c>
      <c r="B44" s="9" t="e">
        <f>район!B43+ив!B43+мортки!B43+затеиха!#REF!+сеготь!B43+город!B50</f>
        <v>#REF!</v>
      </c>
      <c r="C44" s="9" t="e">
        <f>район!C43+ив!C43+мортки!C43+затеиха!#REF!+сеготь!C43+город!C50</f>
        <v>#REF!</v>
      </c>
      <c r="D44" s="9" t="e">
        <f>район!D43+ив!D43+мортки!D43+затеиха!#REF!+сеготь!D43+город!D50</f>
        <v>#REF!</v>
      </c>
      <c r="E44" s="9">
        <f>район!E43+ив!E43+мортки!E43+затеиха!B43+сеготь!E43+город!E50</f>
        <v>54267.700000000004</v>
      </c>
      <c r="F44" s="9">
        <f>район!F43+ив!F43+мортки!F43+затеиха!C43+сеготь!F43+город!F50</f>
        <v>43472.4</v>
      </c>
      <c r="G44" s="9">
        <f>район!G43+ив!G43+мортки!G43+затеиха!D43+сеготь!G43+город!G50</f>
        <v>44471.1</v>
      </c>
      <c r="H44" s="9">
        <f>район!H43+ив!H43+мортки!H43+затеиха!E43+сеготь!H43+город!H50</f>
        <v>45534.87335</v>
      </c>
      <c r="I44" s="9">
        <f>район!I43+ив!I43+мортки!I43+затеиха!F43+сеготь!I43+город!I50</f>
        <v>46298.609088779995</v>
      </c>
      <c r="J44" s="9">
        <f>район!J43+ив!J43+мортки!J43+затеиха!G43+сеготь!J43+город!J50</f>
        <v>46736.75423785472</v>
      </c>
      <c r="K44" s="9">
        <f>район!K43+ив!K43+мортки!K43+затеиха!H43+сеготь!K43+город!K50</f>
        <v>47444.1438175197</v>
      </c>
      <c r="L44" s="9">
        <f>район!L43+ив!L43+мортки!L43+затеиха!I43+сеготь!L43+город!L50</f>
        <v>48233.96663053286</v>
      </c>
      <c r="M44" s="9">
        <f>район!M43+ив!M43+мортки!M43+затеиха!J43+сеготь!M43+город!M50</f>
        <v>49312.65196357712</v>
      </c>
      <c r="N44" s="9">
        <f>район!N43+ив!N43+мортки!N43+затеиха!K43+сеготь!N43+город!N50</f>
        <v>50080.04837928574</v>
      </c>
      <c r="O44" s="9">
        <f>район!O43+ив!O43+мортки!O43+затеиха!L43+сеготь!O43+город!O50</f>
        <v>50754.651992130384</v>
      </c>
    </row>
    <row r="45" spans="1:15" ht="18.75">
      <c r="A45" s="8" t="s">
        <v>52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37.5">
      <c r="A46" s="8" t="s">
        <v>53</v>
      </c>
      <c r="B46" s="9">
        <f>район!B45</f>
        <v>41.5</v>
      </c>
      <c r="C46" s="9">
        <f>район!C45</f>
        <v>40.089</v>
      </c>
      <c r="D46" s="9">
        <f>район!D45</f>
        <v>40.28944499999999</v>
      </c>
      <c r="E46" s="9">
        <f>район!E45</f>
        <v>0</v>
      </c>
      <c r="F46" s="9">
        <f>район!F45</f>
        <v>0</v>
      </c>
      <c r="G46" s="9">
        <f>район!G45</f>
        <v>0</v>
      </c>
      <c r="H46" s="9">
        <f>район!H45</f>
        <v>0</v>
      </c>
      <c r="I46" s="9">
        <f>район!I45</f>
        <v>0</v>
      </c>
      <c r="J46" s="9">
        <f>район!J45</f>
        <v>0</v>
      </c>
      <c r="K46" s="9">
        <f>район!K45</f>
        <v>0</v>
      </c>
      <c r="L46" s="9">
        <f>район!L45</f>
        <v>0</v>
      </c>
      <c r="M46" s="9">
        <f>район!M45</f>
        <v>0</v>
      </c>
      <c r="N46" s="9">
        <f>район!N45</f>
        <v>0</v>
      </c>
      <c r="O46" s="9">
        <f>район!O45</f>
        <v>0</v>
      </c>
    </row>
    <row r="47" spans="1:15" ht="18.75">
      <c r="A47" s="8" t="s">
        <v>54</v>
      </c>
      <c r="B47" s="9" t="e">
        <f>район!B46+ив!B46+мортки!B46+затеиха!#REF!+сеготь!B46+город!B53</f>
        <v>#REF!</v>
      </c>
      <c r="C47" s="9" t="e">
        <f>район!C46+ив!C46+мортки!C46+затеиха!#REF!+сеготь!C46+город!C53</f>
        <v>#REF!</v>
      </c>
      <c r="D47" s="9" t="e">
        <f>район!D46+ив!D46+мортки!D46+затеиха!#REF!+сеготь!D46+город!D53</f>
        <v>#REF!</v>
      </c>
      <c r="E47" s="9">
        <f>район!E46+ив!E46+мортки!E46+затеиха!B46+сеготь!E46+город!E53</f>
        <v>30880</v>
      </c>
      <c r="F47" s="9">
        <f>район!F46+ив!F46+мортки!F46+затеиха!C46+сеготь!F46+город!F53</f>
        <v>22111</v>
      </c>
      <c r="G47" s="9">
        <f>район!G46+ив!G46+мортки!G46+затеиха!D46+сеготь!G46+город!G53</f>
        <v>21697.3</v>
      </c>
      <c r="H47" s="9">
        <f>район!H46+ив!H46+мортки!H46+затеиха!E46+сеготь!H46+город!H53</f>
        <v>23082.3131</v>
      </c>
      <c r="I47" s="9">
        <f>район!I46+ив!I46+мортки!I46+затеиха!F46+сеготь!I46+город!I53</f>
        <v>23678.25598908</v>
      </c>
      <c r="J47" s="9">
        <f>район!J46+ив!J46+мортки!J46+затеиха!G46+сеготь!J46+город!J53</f>
        <v>25408.25269459701</v>
      </c>
      <c r="K47" s="9">
        <f>район!K46+ив!K46+мортки!K46+затеиха!H46+сеготь!K46+город!K53</f>
        <v>26321.95946345919</v>
      </c>
      <c r="L47" s="9">
        <f>район!L46+ив!L46+мортки!L46+затеиха!I46+сеготь!L46+город!L53</f>
        <v>27575.120515381477</v>
      </c>
      <c r="M47" s="9">
        <f>район!M46+ив!M46+мортки!M46+затеиха!J46+сеготь!M46+город!M53</f>
        <v>28319.55347950453</v>
      </c>
      <c r="N47" s="9">
        <f>район!N46+ив!N46+мортки!N46+затеиха!K46+сеготь!N46+город!N53</f>
        <v>29401.732307340564</v>
      </c>
      <c r="O47" s="9">
        <f>район!O46+ив!O46+мортки!O46+затеиха!L46+сеготь!O46+город!O53</f>
        <v>30419.67829964562</v>
      </c>
    </row>
    <row r="48" spans="1:15" ht="18.75">
      <c r="A48" s="8" t="s">
        <v>55</v>
      </c>
      <c r="B48" s="9" t="e">
        <f>район!B47+ив!B47+мортки!B47+затеиха!#REF!+сеготь!B47+город!B54</f>
        <v>#REF!</v>
      </c>
      <c r="C48" s="9" t="e">
        <f>район!C47+ив!C47+мортки!C47+затеиха!#REF!+сеготь!C47+город!C54</f>
        <v>#REF!</v>
      </c>
      <c r="D48" s="9" t="e">
        <f>район!D47+ив!D47+мортки!D47+затеиха!#REF!+сеготь!D47+город!D54</f>
        <v>#REF!</v>
      </c>
      <c r="E48" s="9">
        <f>район!E47+ив!E47+мортки!E47+затеиха!B47+сеготь!E47+город!E54</f>
        <v>21893.1</v>
      </c>
      <c r="F48" s="9">
        <f>район!F47+ив!F47+мортки!F47+затеиха!C47+сеготь!F47+город!F54</f>
        <v>19725</v>
      </c>
      <c r="G48" s="9">
        <f>район!G47+ив!G47+мортки!G47+затеиха!D47+сеготь!G47+город!G54</f>
        <v>19688.1</v>
      </c>
      <c r="H48" s="9">
        <f>район!H47+ив!H47+мортки!H47+затеиха!E47+сеготь!H47+город!H54</f>
        <v>20899.25</v>
      </c>
      <c r="I48" s="9">
        <f>район!I47+ив!I47+мортки!I47+затеиха!F47+сеготь!I47+город!I54</f>
        <v>21228.845299999997</v>
      </c>
      <c r="J48" s="9">
        <f>район!J47+ив!J47+мортки!J47+затеиха!G47+сеготь!J47+город!J54</f>
        <v>22441.35352428</v>
      </c>
      <c r="K48" s="9">
        <f>район!K47+ив!K47+мортки!K47+затеиха!H47+сеготь!K47+город!K54</f>
        <v>22793.430198949958</v>
      </c>
      <c r="L48" s="9">
        <f>район!L47+ив!L47+мортки!L47+затеиха!I47+сеготь!L47+город!L54</f>
        <v>22995.859148461976</v>
      </c>
      <c r="M48" s="9">
        <f>район!M47+ив!M47+мортки!M47+затеиха!J47+сеготь!M47+город!M54</f>
        <v>23290.235621649677</v>
      </c>
      <c r="N48" s="9">
        <f>район!N47+ив!N47+мортки!N47+затеиха!K47+сеготь!N47+город!N54</f>
        <v>23594.416706622877</v>
      </c>
      <c r="O48" s="9">
        <f>район!O47+ив!O47+мортки!O47+затеиха!L47+сеготь!O47+город!O54</f>
        <v>23855.572831922545</v>
      </c>
    </row>
    <row r="49" spans="1:15" ht="18.75">
      <c r="A49" s="8" t="s">
        <v>56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8.75">
      <c r="A50" s="8" t="s">
        <v>57</v>
      </c>
      <c r="B50" s="9" t="e">
        <f>район!B49+город!B56</f>
        <v>#REF!</v>
      </c>
      <c r="C50" s="9" t="e">
        <f>район!C49+город!C56</f>
        <v>#REF!</v>
      </c>
      <c r="D50" s="9" t="e">
        <f>район!D49+город!D56</f>
        <v>#REF!</v>
      </c>
      <c r="E50" s="9">
        <f>район!E49+город!E56</f>
        <v>82374.6</v>
      </c>
      <c r="F50" s="9">
        <f>район!F49+город!F56</f>
        <v>60769.5</v>
      </c>
      <c r="G50" s="9">
        <f>район!G49+город!G56</f>
        <v>61578.1</v>
      </c>
      <c r="H50" s="9">
        <f>район!H49+город!H56</f>
        <v>62402.20645</v>
      </c>
      <c r="I50" s="9">
        <f>район!I49+город!I56</f>
        <v>63826.86585385999</v>
      </c>
      <c r="J50" s="9">
        <f>район!J49+город!J56</f>
        <v>64824.37423434933</v>
      </c>
      <c r="K50" s="9">
        <f>район!K49+город!K56+0.1</f>
        <v>66039.22755398977</v>
      </c>
      <c r="L50" s="9">
        <f>район!L49+город!L56</f>
        <v>66963.8959234001</v>
      </c>
      <c r="M50" s="9">
        <f>район!M49+город!M56</f>
        <v>68305.5590907873</v>
      </c>
      <c r="N50" s="9">
        <f>район!N49+город!N56</f>
        <v>69487.5275635136</v>
      </c>
      <c r="O50" s="9">
        <f>район!O49+город!O56+0.1</f>
        <v>70935.02327023997</v>
      </c>
    </row>
    <row r="51" spans="1:15" ht="18.75">
      <c r="A51" s="8" t="s">
        <v>58</v>
      </c>
      <c r="B51" s="9" t="e">
        <f>район!B50+ив!B50+мортки!B50+затеиха!#REF!+сеготь!B50+город!B57</f>
        <v>#REF!</v>
      </c>
      <c r="C51" s="9" t="e">
        <f>район!C50+ив!C50+мортки!C50+затеиха!#REF!+сеготь!C50+город!C57</f>
        <v>#REF!</v>
      </c>
      <c r="D51" s="9" t="e">
        <f>район!D50+ив!D50+мортки!D50+затеиха!#REF!+сеготь!D50+город!D57</f>
        <v>#REF!</v>
      </c>
      <c r="E51" s="9">
        <f>район!E50+ив!E50+мортки!E50+затеиха!B50+сеготь!E50+город!E57</f>
        <v>25472</v>
      </c>
      <c r="F51" s="9">
        <f>район!F50+ив!F50+мортки!F50+затеиха!C50+сеготь!F50+город!F57</f>
        <v>22823.1</v>
      </c>
      <c r="G51" s="9">
        <f>район!G50+ив!G50+мортки!G50+затеиха!D50+сеготь!G50+город!G57</f>
        <v>22751.1</v>
      </c>
      <c r="H51" s="9">
        <f>район!H50+ив!H50+мортки!H50+затеиха!E50+сеготь!H50+город!H57</f>
        <v>21280.355600000003</v>
      </c>
      <c r="I51" s="9">
        <f>район!I50+ив!I50+мортки!I50+затеиха!F50+сеготь!I50+город!I57</f>
        <v>21553.83089808</v>
      </c>
      <c r="J51" s="9">
        <f>район!J50+ив!J50+мортки!J50+затеиха!G50+сеготь!J50+город!J57</f>
        <v>21970.607252905407</v>
      </c>
      <c r="K51" s="9">
        <f>район!K50+ив!K50+мортки!K50+затеиха!H50+сеготь!K50+город!K57</f>
        <v>22224.525503675744</v>
      </c>
      <c r="L51" s="9">
        <f>район!L50+ив!L50+мортки!L50+затеиха!I50+сеготь!L50+город!L57</f>
        <v>22676.10909750368</v>
      </c>
      <c r="M51" s="9">
        <f>район!M50+ив!M50+мортки!M50+затеиха!J50+сеготь!M50+город!M57</f>
        <v>22916.546770283712</v>
      </c>
      <c r="N51" s="9">
        <f>район!N50+ив!N50+мортки!N50+затеиха!K50+сеготь!N50+город!N57</f>
        <v>23371.97274444598</v>
      </c>
      <c r="O51" s="9">
        <f>район!O50+ив!O50+мортки!O50+затеиха!L50+сеготь!O50+город!O57</f>
        <v>23846.949790029328</v>
      </c>
    </row>
    <row r="52" spans="1:15" ht="18.75">
      <c r="A52" s="8" t="s">
        <v>59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8.75">
      <c r="A53" s="8" t="s">
        <v>60</v>
      </c>
      <c r="B53" s="9">
        <f>район!B52+ив!B52+мортки!B52+сеготь!B52+город!B59</f>
        <v>3381.6</v>
      </c>
      <c r="C53" s="9">
        <f>район!C52+ив!C52+мортки!C52+сеготь!C52+город!C59</f>
        <v>3310.6495999999997</v>
      </c>
      <c r="D53" s="9">
        <f>район!D52+ив!D52+мортки!D52+сеготь!D52+город!D59</f>
        <v>3325.8428479999993</v>
      </c>
      <c r="E53" s="9">
        <f>район!E52+ив!E52+мортки!E52+сеготь!E52+город!E59</f>
        <v>2389.2</v>
      </c>
      <c r="F53" s="9">
        <f>район!F52+ив!F52+мортки!F52+сеготь!F52+город!F59</f>
        <v>1931.6</v>
      </c>
      <c r="G53" s="9">
        <f>район!G52+ив!G52+мортки!G52+сеготь!G52+город!G59</f>
        <v>1931.6</v>
      </c>
      <c r="H53" s="9">
        <f>район!H52+ив!H52+мортки!H52+сеготь!H52+город!H59</f>
        <v>1938.78245</v>
      </c>
      <c r="I53" s="9">
        <f>район!I52+ив!I52+мортки!I52+сеготь!I52+город!I59</f>
        <v>1949.6847706599997</v>
      </c>
      <c r="J53" s="9">
        <f>район!J52+ив!J52+мортки!J52+сеготь!J52+город!J59</f>
        <v>1961.9525749170157</v>
      </c>
      <c r="K53" s="9">
        <f>район!K52+ив!K52+мортки!K52+сеготь!K52+город!K59</f>
        <v>1973.3377429414347</v>
      </c>
      <c r="L53" s="9">
        <f>район!L52+ив!L52+мортки!L52+сеготь!L52+город!L59</f>
        <v>1985.7853097877896</v>
      </c>
      <c r="M53" s="9">
        <f>район!M52+ив!M52+мортки!M52+сеготь!M52+город!M59</f>
        <v>1998.987592266092</v>
      </c>
      <c r="N53" s="9">
        <f>район!N52+ив!N52+мортки!N52+сеготь!N52+город!N59</f>
        <v>2012.2954930042206</v>
      </c>
      <c r="O53" s="9">
        <f>район!O52+ив!O52+мортки!O52+сеготь!O52+город!O59</f>
        <v>2024.8714592017523</v>
      </c>
    </row>
    <row r="54" spans="1:15" ht="18.75">
      <c r="A54" s="8" t="s">
        <v>61</v>
      </c>
      <c r="B54" s="9" t="e">
        <f>район!B53+ив!B53+затеиха!#REF!+город!B60</f>
        <v>#REF!</v>
      </c>
      <c r="C54" s="9" t="e">
        <f>район!C53+ив!C53+затеиха!#REF!+город!C60</f>
        <v>#REF!</v>
      </c>
      <c r="D54" s="9" t="e">
        <f>район!D53+ив!D53+затеиха!#REF!+город!D60</f>
        <v>#REF!</v>
      </c>
      <c r="E54" s="9">
        <f>район!E53+ив!E53+затеиха!B53+город!E60</f>
        <v>877.1</v>
      </c>
      <c r="F54" s="9">
        <f>район!F53+ив!F53+затеиха!C53+город!F60</f>
        <v>715.4000000000001</v>
      </c>
      <c r="G54" s="9">
        <f>район!G53+ив!G53+затеиха!D53+город!G60</f>
        <v>715.4000000000001</v>
      </c>
      <c r="H54" s="9">
        <f>район!H53+ив!H53+затеиха!E53+город!H60</f>
        <v>590.1011500000001</v>
      </c>
      <c r="I54" s="9">
        <f>район!I53+ив!I53+затеиха!F53+город!I60</f>
        <v>594.4064778200001</v>
      </c>
      <c r="J54" s="9">
        <f>район!J53+ив!J53+затеиха!G53+город!J60</f>
        <v>603.350047051432</v>
      </c>
      <c r="K54" s="9">
        <f>район!K53+ив!K53+затеиха!H53+город!K60</f>
        <v>707.968897380792</v>
      </c>
      <c r="L54" s="9">
        <f>район!L53+ив!L53+затеиха!I53+город!L60</f>
        <v>713.0775010008861</v>
      </c>
      <c r="M54" s="9">
        <f>район!M53+ив!M53+затеиха!J53+город!M60</f>
        <v>723.3533210088932</v>
      </c>
      <c r="N54" s="9">
        <f>район!N53+ив!N53+затеиха!K53+город!N60</f>
        <v>728.5385475769643</v>
      </c>
      <c r="O54" s="9">
        <f>район!O53+ив!O53+затеиха!L53+город!O60</f>
        <v>738.7585866837915</v>
      </c>
    </row>
    <row r="55" spans="1:15" ht="18.75">
      <c r="A55" s="8" t="s">
        <v>62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37.5">
      <c r="A56" s="8" t="s">
        <v>63</v>
      </c>
      <c r="B56" s="9">
        <f>район!B55</f>
        <v>0</v>
      </c>
      <c r="C56" s="9">
        <f>район!C55</f>
        <v>0</v>
      </c>
      <c r="D56" s="9">
        <f>район!D55</f>
        <v>0</v>
      </c>
      <c r="E56" s="9">
        <f>район!E55</f>
        <v>5.3</v>
      </c>
      <c r="F56" s="9">
        <f>район!F55</f>
        <v>5.3</v>
      </c>
      <c r="G56" s="9">
        <f>район!G55</f>
        <v>5.3</v>
      </c>
      <c r="H56" s="9">
        <f>район!H55</f>
        <v>5.3</v>
      </c>
      <c r="I56" s="9">
        <f>район!I55</f>
        <v>5.3</v>
      </c>
      <c r="J56" s="9">
        <f>район!J55</f>
        <v>0</v>
      </c>
      <c r="K56" s="9">
        <f>район!K55</f>
        <v>0</v>
      </c>
      <c r="L56" s="9">
        <f>район!L55</f>
        <v>0</v>
      </c>
      <c r="M56" s="9">
        <f>район!M55</f>
        <v>0</v>
      </c>
      <c r="N56" s="9">
        <f>район!N55</f>
        <v>0</v>
      </c>
      <c r="O56" s="9">
        <f>район!O55</f>
        <v>0</v>
      </c>
    </row>
    <row r="57" spans="1:15" ht="75">
      <c r="A57" s="8" t="s">
        <v>64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4:15" ht="23.25">
      <c r="N58" s="78" t="s">
        <v>88</v>
      </c>
      <c r="O58" s="78"/>
    </row>
    <row r="59" spans="1:15" ht="18.75">
      <c r="A59" s="1" t="s">
        <v>0</v>
      </c>
      <c r="B59" s="1" t="s">
        <v>1</v>
      </c>
      <c r="C59" s="1" t="s">
        <v>2</v>
      </c>
      <c r="D59" s="1" t="s">
        <v>12</v>
      </c>
      <c r="E59" s="1" t="s">
        <v>13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21</v>
      </c>
      <c r="N59" s="1" t="s">
        <v>22</v>
      </c>
      <c r="O59" s="1" t="s">
        <v>3</v>
      </c>
    </row>
    <row r="60" spans="1:15" ht="18.75">
      <c r="A60" s="6" t="s">
        <v>65</v>
      </c>
      <c r="B60" s="3"/>
      <c r="C60" s="3"/>
      <c r="D60" s="3"/>
      <c r="E60" s="3">
        <f>E63</f>
        <v>5594.2</v>
      </c>
      <c r="F60" s="3">
        <f aca="true" t="shared" si="13" ref="F60:O60">F63</f>
        <v>5008</v>
      </c>
      <c r="G60" s="3">
        <f t="shared" si="13"/>
        <v>3835.6</v>
      </c>
      <c r="H60" s="3">
        <f t="shared" si="13"/>
        <v>2663.2</v>
      </c>
      <c r="I60" s="3">
        <f t="shared" si="13"/>
        <v>1331.6</v>
      </c>
      <c r="J60" s="3">
        <f t="shared" si="13"/>
        <v>0</v>
      </c>
      <c r="K60" s="3">
        <f t="shared" si="13"/>
        <v>0</v>
      </c>
      <c r="L60" s="3">
        <f t="shared" si="13"/>
        <v>0</v>
      </c>
      <c r="M60" s="3">
        <f t="shared" si="13"/>
        <v>0</v>
      </c>
      <c r="N60" s="3">
        <f t="shared" si="13"/>
        <v>0</v>
      </c>
      <c r="O60" s="3">
        <f t="shared" si="13"/>
        <v>0</v>
      </c>
    </row>
    <row r="61" spans="1:15" ht="18.75">
      <c r="A61" s="8" t="s">
        <v>66</v>
      </c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>
      <c r="A62" s="8" t="s">
        <v>67</v>
      </c>
      <c r="B62" s="3"/>
      <c r="C62" s="3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8.75">
      <c r="A63" s="8" t="s">
        <v>68</v>
      </c>
      <c r="B63" s="3"/>
      <c r="C63" s="3"/>
      <c r="D63" s="3"/>
      <c r="E63" s="71">
        <v>5594.2</v>
      </c>
      <c r="F63" s="72">
        <v>5008</v>
      </c>
      <c r="G63" s="72">
        <v>3835.6</v>
      </c>
      <c r="H63" s="72">
        <v>2663.2</v>
      </c>
      <c r="I63" s="72">
        <v>1331.6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</row>
    <row r="64" spans="1:15" ht="18.75">
      <c r="A64" s="8" t="s">
        <v>69</v>
      </c>
      <c r="B64" s="3"/>
      <c r="C64" s="3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</row>
  </sheetData>
  <sheetProtection/>
  <mergeCells count="5">
    <mergeCell ref="N58:O58"/>
    <mergeCell ref="A1:O1"/>
    <mergeCell ref="N2:O2"/>
    <mergeCell ref="N12:O12"/>
    <mergeCell ref="N40:O40"/>
  </mergeCells>
  <printOptions/>
  <pageMargins left="0.2362204724409449" right="0.15748031496062992" top="0.2755905511811024" bottom="0.1968503937007874" header="0.2362204724409449" footer="0.2362204724409449"/>
  <pageSetup horizontalDpi="600" verticalDpi="600" orientation="portrait" paperSize="9" scale="53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Елена Михайловна</dc:creator>
  <cp:keywords/>
  <dc:description/>
  <cp:lastModifiedBy>Пользователь РФО</cp:lastModifiedBy>
  <cp:lastPrinted>2020-11-12T06:18:33Z</cp:lastPrinted>
  <dcterms:created xsi:type="dcterms:W3CDTF">2016-05-06T11:57:15Z</dcterms:created>
  <dcterms:modified xsi:type="dcterms:W3CDTF">2020-11-12T06:19:05Z</dcterms:modified>
  <cp:category/>
  <cp:version/>
  <cp:contentType/>
  <cp:contentStatus/>
</cp:coreProperties>
</file>